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codeName="ThisWorkbook" defaultThemeVersion="124226"/>
  <mc:AlternateContent xmlns:mc="http://schemas.openxmlformats.org/markup-compatibility/2006">
    <mc:Choice Requires="x15">
      <x15ac:absPath xmlns:x15ac="http://schemas.microsoft.com/office/spreadsheetml/2010/11/ac" url="/Users/jakob/Bosmilieuadvies Dropbox/BMA/BMA/Standaarden/"/>
    </mc:Choice>
  </mc:AlternateContent>
  <xr:revisionPtr revIDLastSave="0" documentId="8_{9163FF50-800A-9A42-BD7E-59678D6A4F52}" xr6:coauthVersionLast="47" xr6:coauthVersionMax="47" xr10:uidLastSave="{00000000-0000-0000-0000-000000000000}"/>
  <workbookProtection workbookAlgorithmName="SHA-512" workbookHashValue="7f3FedkZZv/rlyfDXk/kR2kZYORyFgiowXFw29UaGo255G2892As1pl0UnSi/XMG1zB9+dCXXfmkGDCZbocyPw==" workbookSaltValue="zQa+pQq2QMQdvEa4LCwobA==" workbookSpinCount="100000" lockStructure="1"/>
  <bookViews>
    <workbookView xWindow="3020" yWindow="1840" windowWidth="28240" windowHeight="18720" xr2:uid="{00000000-000D-0000-FFFF-FFFF00000000}"/>
  </bookViews>
  <sheets>
    <sheet name="Invoer+conclusie" sheetId="7" r:id="rId1"/>
    <sheet name="Norm 8 juli 2019" sheetId="10" state="hidden" r:id="rId2"/>
    <sheet name="Bijlage G onderdeel 3 bodemsane" sheetId="11" state="hidden" r:id="rId3"/>
  </sheets>
  <definedNames>
    <definedName name="_xlnm._FilterDatabase" localSheetId="0" hidden="1">'Invoer+conclusie'!$AE$10:$AE$11</definedName>
    <definedName name="_xlnm.Print_Area" localSheetId="0">'Invoer+conclusie'!$A$1:$AB$108</definedName>
    <definedName name="conclusie" localSheetId="0">'Invoer+conclusie'!#REF!</definedName>
    <definedName name="_xlnm.Criteria" localSheetId="0">'Invoer+conclusie'!#REF!</definedName>
    <definedName name="oefen" localSheetId="0">'Invoer+conclusie'!#REF!</definedName>
    <definedName name="Vooronderzoek">'Invoer+conclusie'!#REF!</definedName>
    <definedName name="waarden">'Invoer+conclusie'!#REF!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7" l="1"/>
  <c r="F67" i="7" s="1"/>
  <c r="D71" i="7"/>
  <c r="F71" i="7" s="1"/>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E68" i="7"/>
  <c r="F68" i="7"/>
  <c r="E69" i="7"/>
  <c r="F69" i="7"/>
  <c r="E70" i="7"/>
  <c r="F70" i="7"/>
  <c r="E71" i="7"/>
  <c r="E72" i="7"/>
  <c r="F72" i="7"/>
  <c r="E73" i="7"/>
  <c r="F73" i="7"/>
  <c r="E74" i="7"/>
  <c r="F74" i="7"/>
  <c r="E75" i="7"/>
  <c r="F75" i="7"/>
  <c r="E76" i="7"/>
  <c r="F76" i="7"/>
  <c r="E77" i="7"/>
  <c r="F77" i="7"/>
  <c r="F34" i="7"/>
  <c r="E34" i="7"/>
  <c r="AB4" i="7"/>
  <c r="AD66" i="7" l="1"/>
  <c r="AD65" i="7"/>
  <c r="AE66" i="7" l="1"/>
  <c r="AE65" i="7"/>
  <c r="U39" i="7" l="1"/>
  <c r="V39" i="7"/>
  <c r="U40" i="7"/>
  <c r="V40" i="7"/>
  <c r="U53" i="7"/>
  <c r="V53" i="7"/>
  <c r="U54" i="7"/>
  <c r="V54" i="7"/>
  <c r="C76" i="7" l="1"/>
  <c r="D76" i="7"/>
  <c r="D68" i="7"/>
  <c r="D69" i="7"/>
  <c r="D70" i="7"/>
  <c r="D72" i="7"/>
  <c r="D73" i="7"/>
  <c r="D74" i="7"/>
  <c r="D75" i="7"/>
  <c r="C68" i="7"/>
  <c r="C69" i="7"/>
  <c r="C70" i="7"/>
  <c r="C71" i="7"/>
  <c r="C72" i="7"/>
  <c r="C73" i="7"/>
  <c r="C74" i="7"/>
  <c r="C75" i="7"/>
  <c r="C67" i="7"/>
  <c r="A76" i="7"/>
  <c r="A75" i="7"/>
  <c r="A74" i="7"/>
  <c r="A73" i="7"/>
  <c r="A72" i="7"/>
  <c r="A71" i="7"/>
  <c r="A70" i="7"/>
  <c r="A69" i="7"/>
  <c r="A68" i="7"/>
  <c r="A67" i="7"/>
  <c r="AD67" i="7" l="1"/>
  <c r="AD68" i="7"/>
  <c r="AD69" i="7"/>
  <c r="AD70" i="7"/>
  <c r="AD71" i="7"/>
  <c r="AD72" i="7"/>
  <c r="AD73" i="7"/>
  <c r="AD74" i="7"/>
  <c r="AD75" i="7"/>
  <c r="AD76" i="7"/>
  <c r="Q67" i="7"/>
  <c r="Q68" i="7"/>
  <c r="Q69" i="7"/>
  <c r="Q70" i="7"/>
  <c r="Q71" i="7"/>
  <c r="Q72" i="7"/>
  <c r="Q73" i="7"/>
  <c r="Q74" i="7"/>
  <c r="Q75" i="7"/>
  <c r="Q76" i="7"/>
  <c r="AE74" i="7" l="1"/>
  <c r="AE71" i="7"/>
  <c r="AE69" i="7"/>
  <c r="AE75" i="7"/>
  <c r="AE72" i="7"/>
  <c r="AE70" i="7"/>
  <c r="AE76" i="7"/>
  <c r="AE73" i="7"/>
  <c r="AE68" i="7"/>
  <c r="AE67" i="7"/>
  <c r="AB11" i="7" l="1"/>
  <c r="AB10" i="7"/>
  <c r="AB9" i="7"/>
  <c r="AH5" i="7"/>
  <c r="AB8" i="7" s="1"/>
  <c r="Z4" i="7"/>
  <c r="Y11" i="7"/>
  <c r="W11" i="7"/>
  <c r="T11" i="7"/>
  <c r="P11" i="7"/>
  <c r="AG5" i="7" l="1"/>
  <c r="AF5" i="7"/>
  <c r="AE5" i="7"/>
  <c r="Y4" i="7"/>
  <c r="W4" i="7"/>
  <c r="T4" i="7"/>
  <c r="P4" i="7"/>
  <c r="P5" i="7"/>
  <c r="M2" i="7"/>
  <c r="Y8" i="7" l="1"/>
  <c r="W8" i="7"/>
  <c r="T8" i="7"/>
  <c r="AE77" i="7" l="1"/>
  <c r="AD77" i="7"/>
  <c r="AE64" i="7" l="1"/>
  <c r="AE63" i="7"/>
  <c r="AE62" i="7"/>
  <c r="AE61" i="7"/>
  <c r="AE60" i="7"/>
  <c r="AE59" i="7"/>
  <c r="AE58" i="7"/>
  <c r="AE57" i="7"/>
  <c r="AE56" i="7"/>
  <c r="AE55" i="7"/>
  <c r="AE54" i="7"/>
  <c r="AE53" i="7"/>
  <c r="AE52" i="7"/>
  <c r="AE51" i="7"/>
  <c r="AE50" i="7"/>
  <c r="AE49" i="7"/>
  <c r="AE48" i="7"/>
  <c r="AE47" i="7"/>
  <c r="AE46" i="7"/>
  <c r="AE45" i="7"/>
  <c r="AE44" i="7"/>
  <c r="AE43" i="7"/>
  <c r="AE42" i="7"/>
  <c r="AE41" i="7"/>
  <c r="AE40" i="7"/>
  <c r="AE39" i="7"/>
  <c r="AE38" i="7"/>
  <c r="AE37" i="7"/>
  <c r="AE36" i="7"/>
  <c r="AE35"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E34" i="7"/>
  <c r="AD34" i="7"/>
  <c r="AE30" i="7"/>
  <c r="AD30" i="7"/>
  <c r="H34" i="7" l="1"/>
  <c r="H66" i="7"/>
  <c r="H65" i="7"/>
  <c r="H71" i="7"/>
  <c r="H74" i="7"/>
  <c r="H70" i="7"/>
  <c r="H72" i="7"/>
  <c r="H75" i="7"/>
  <c r="H73" i="7"/>
  <c r="H69" i="7"/>
  <c r="H76" i="7"/>
  <c r="H67" i="7"/>
  <c r="H68" i="7"/>
  <c r="I66" i="7"/>
  <c r="I65" i="7"/>
  <c r="I34" i="7"/>
  <c r="I73" i="7"/>
  <c r="J73" i="7" s="1"/>
  <c r="AB73" i="7" s="1"/>
  <c r="AC73" i="7" s="1"/>
  <c r="I67" i="7"/>
  <c r="I72" i="7"/>
  <c r="J72" i="7" s="1"/>
  <c r="AB72" i="7" s="1"/>
  <c r="AC72" i="7" s="1"/>
  <c r="I75" i="7"/>
  <c r="J75" i="7" s="1"/>
  <c r="AB75" i="7" s="1"/>
  <c r="AC75" i="7" s="1"/>
  <c r="I70" i="7"/>
  <c r="J70" i="7" s="1"/>
  <c r="AB70" i="7" s="1"/>
  <c r="AC70" i="7" s="1"/>
  <c r="I74" i="7"/>
  <c r="I71" i="7"/>
  <c r="I69" i="7"/>
  <c r="J69" i="7" s="1"/>
  <c r="AB69" i="7" s="1"/>
  <c r="AC69" i="7" s="1"/>
  <c r="I68" i="7"/>
  <c r="J68" i="7" s="1"/>
  <c r="AB68" i="7" s="1"/>
  <c r="AC68" i="7" s="1"/>
  <c r="I76" i="7"/>
  <c r="H37" i="7"/>
  <c r="H53" i="7"/>
  <c r="H49" i="7"/>
  <c r="H62" i="7"/>
  <c r="H45" i="7"/>
  <c r="H58" i="7"/>
  <c r="H41" i="7"/>
  <c r="I47" i="7"/>
  <c r="I59" i="7"/>
  <c r="H61" i="7"/>
  <c r="H57" i="7"/>
  <c r="H52" i="7"/>
  <c r="H48" i="7"/>
  <c r="H44" i="7"/>
  <c r="H40" i="7"/>
  <c r="H64" i="7"/>
  <c r="H60" i="7"/>
  <c r="H56" i="7"/>
  <c r="H51" i="7"/>
  <c r="H47" i="7"/>
  <c r="H43" i="7"/>
  <c r="H39" i="7"/>
  <c r="I55" i="7"/>
  <c r="H54" i="7"/>
  <c r="H63" i="7"/>
  <c r="H59" i="7"/>
  <c r="H55" i="7"/>
  <c r="H50" i="7"/>
  <c r="H46" i="7"/>
  <c r="H42" i="7"/>
  <c r="H38" i="7"/>
  <c r="I63" i="7"/>
  <c r="H35" i="7"/>
  <c r="I62" i="7"/>
  <c r="I58" i="7"/>
  <c r="I53" i="7"/>
  <c r="I45" i="7"/>
  <c r="I37" i="7"/>
  <c r="I51" i="7"/>
  <c r="I35" i="7"/>
  <c r="I61" i="7"/>
  <c r="I57" i="7"/>
  <c r="I43" i="7"/>
  <c r="I64" i="7"/>
  <c r="I60" i="7"/>
  <c r="I56" i="7"/>
  <c r="I49" i="7"/>
  <c r="I41" i="7"/>
  <c r="H77" i="7"/>
  <c r="I39" i="7"/>
  <c r="I77" i="7"/>
  <c r="I52" i="7"/>
  <c r="I48" i="7"/>
  <c r="I44" i="7"/>
  <c r="I40" i="7"/>
  <c r="I36" i="7"/>
  <c r="H36" i="7"/>
  <c r="I54" i="7"/>
  <c r="I50" i="7"/>
  <c r="I46" i="7"/>
  <c r="I42" i="7"/>
  <c r="I38" i="7"/>
  <c r="Y10" i="7"/>
  <c r="Y9" i="7"/>
  <c r="W10" i="7"/>
  <c r="W9" i="7"/>
  <c r="T10" i="7"/>
  <c r="T9" i="7"/>
  <c r="J34" i="7" l="1"/>
  <c r="J74" i="7"/>
  <c r="AB74" i="7" s="1"/>
  <c r="AC74" i="7" s="1"/>
  <c r="J66" i="7"/>
  <c r="AB66" i="7" s="1"/>
  <c r="AC66" i="7" s="1"/>
  <c r="J65" i="7"/>
  <c r="W75" i="7"/>
  <c r="X75" i="7" s="1"/>
  <c r="Y75" i="7"/>
  <c r="AA75" i="7" s="1"/>
  <c r="Y69" i="7"/>
  <c r="AA69" i="7" s="1"/>
  <c r="W69" i="7"/>
  <c r="X69" i="7" s="1"/>
  <c r="J71" i="7"/>
  <c r="AB71" i="7" s="1"/>
  <c r="AC71" i="7" s="1"/>
  <c r="W72" i="7"/>
  <c r="X72" i="7" s="1"/>
  <c r="Y72" i="7"/>
  <c r="AA72" i="7" s="1"/>
  <c r="J76" i="7"/>
  <c r="AB76" i="7" s="1"/>
  <c r="AC76" i="7" s="1"/>
  <c r="J67" i="7"/>
  <c r="AB67" i="7" s="1"/>
  <c r="AC67" i="7" s="1"/>
  <c r="W68" i="7"/>
  <c r="X68" i="7" s="1"/>
  <c r="Y68" i="7"/>
  <c r="AA68" i="7" s="1"/>
  <c r="Y70" i="7"/>
  <c r="AA70" i="7" s="1"/>
  <c r="W70" i="7"/>
  <c r="X70" i="7" s="1"/>
  <c r="Y73" i="7"/>
  <c r="AA73" i="7" s="1"/>
  <c r="W73" i="7"/>
  <c r="X73" i="7" s="1"/>
  <c r="C91" i="7"/>
  <c r="C90" i="7"/>
  <c r="C88" i="7"/>
  <c r="C89" i="7"/>
  <c r="T72" i="7"/>
  <c r="L72" i="7"/>
  <c r="T68" i="7"/>
  <c r="L68" i="7"/>
  <c r="T70" i="7"/>
  <c r="L70" i="7"/>
  <c r="T73" i="7"/>
  <c r="L73" i="7"/>
  <c r="L69" i="7"/>
  <c r="T69" i="7"/>
  <c r="L75" i="7"/>
  <c r="T75" i="7"/>
  <c r="K8" i="7"/>
  <c r="K9" i="7"/>
  <c r="P10" i="7"/>
  <c r="K7" i="7"/>
  <c r="L67" i="7" l="1"/>
  <c r="T76" i="7"/>
  <c r="V76" i="7" s="1"/>
  <c r="T71" i="7"/>
  <c r="U71" i="7" s="1"/>
  <c r="T67" i="7"/>
  <c r="V67" i="7" s="1"/>
  <c r="Y74" i="7"/>
  <c r="AA74" i="7" s="1"/>
  <c r="L76" i="7"/>
  <c r="L74" i="7"/>
  <c r="T74" i="7"/>
  <c r="V74" i="7" s="1"/>
  <c r="W74" i="7"/>
  <c r="X74" i="7" s="1"/>
  <c r="W66" i="7"/>
  <c r="X66" i="7" s="1"/>
  <c r="AB65" i="7"/>
  <c r="AC65" i="7" s="1"/>
  <c r="P65" i="7"/>
  <c r="O65" i="7" s="1"/>
  <c r="W65" i="7"/>
  <c r="X65" i="7" s="1"/>
  <c r="L66" i="7"/>
  <c r="C81" i="7"/>
  <c r="E81" i="7" s="1"/>
  <c r="L65" i="7"/>
  <c r="Y65" i="7"/>
  <c r="AA65" i="7" s="1"/>
  <c r="Y66" i="7"/>
  <c r="AA66" i="7" s="1"/>
  <c r="N66" i="7"/>
  <c r="O66" i="7" s="1"/>
  <c r="C80" i="7"/>
  <c r="E80" i="7" s="1"/>
  <c r="Y71" i="7"/>
  <c r="AA71" i="7" s="1"/>
  <c r="W71" i="7"/>
  <c r="X71" i="7" s="1"/>
  <c r="W76" i="7"/>
  <c r="X76" i="7" s="1"/>
  <c r="Y76" i="7"/>
  <c r="AA76" i="7" s="1"/>
  <c r="L71" i="7"/>
  <c r="W67" i="7"/>
  <c r="X67" i="7" s="1"/>
  <c r="Y67" i="7"/>
  <c r="AA67" i="7" s="1"/>
  <c r="V66" i="7"/>
  <c r="U66" i="7"/>
  <c r="V65" i="7"/>
  <c r="U65" i="7"/>
  <c r="U75" i="7"/>
  <c r="V75" i="7"/>
  <c r="U68" i="7"/>
  <c r="V68" i="7"/>
  <c r="U72" i="7"/>
  <c r="V72" i="7"/>
  <c r="U70" i="7"/>
  <c r="V70" i="7"/>
  <c r="V69" i="7"/>
  <c r="U69" i="7"/>
  <c r="V73" i="7"/>
  <c r="U73" i="7"/>
  <c r="V71" i="7" l="1"/>
  <c r="U76" i="7"/>
  <c r="U67" i="7"/>
  <c r="U74" i="7"/>
  <c r="L89" i="7"/>
  <c r="L91" i="7"/>
  <c r="J55" i="7" l="1"/>
  <c r="AB55" i="7" s="1"/>
  <c r="AC55" i="7" s="1"/>
  <c r="J46" i="7"/>
  <c r="AB46" i="7" s="1"/>
  <c r="AC46" i="7" s="1"/>
  <c r="J35" i="7"/>
  <c r="AB35" i="7" s="1"/>
  <c r="AC35" i="7" s="1"/>
  <c r="T35" i="7" l="1"/>
  <c r="U35" i="7" s="1"/>
  <c r="Y35" i="7"/>
  <c r="AA35" i="7" s="1"/>
  <c r="W35" i="7"/>
  <c r="T55" i="7"/>
  <c r="U55" i="7" s="1"/>
  <c r="W55" i="7"/>
  <c r="X55" i="7" s="1"/>
  <c r="Y55" i="7"/>
  <c r="AA55" i="7" s="1"/>
  <c r="T46" i="7"/>
  <c r="U46" i="7" s="1"/>
  <c r="W46" i="7"/>
  <c r="X46" i="7" s="1"/>
  <c r="Y46" i="7"/>
  <c r="AA46" i="7" s="1"/>
  <c r="Q46" i="7"/>
  <c r="Q55" i="7"/>
  <c r="X35" i="7"/>
  <c r="Q35" i="7"/>
  <c r="J44" i="7"/>
  <c r="AB44" i="7" s="1"/>
  <c r="AC44" i="7" s="1"/>
  <c r="J52" i="7"/>
  <c r="AB52" i="7" s="1"/>
  <c r="AC52" i="7" s="1"/>
  <c r="J42" i="7"/>
  <c r="AB42" i="7" s="1"/>
  <c r="AC42" i="7" s="1"/>
  <c r="J50" i="7"/>
  <c r="AB50" i="7" s="1"/>
  <c r="AC50" i="7" s="1"/>
  <c r="J48" i="7"/>
  <c r="AB48" i="7" s="1"/>
  <c r="AC48" i="7" s="1"/>
  <c r="J57" i="7"/>
  <c r="AB57" i="7" s="1"/>
  <c r="AC57" i="7" s="1"/>
  <c r="J53" i="7"/>
  <c r="AB53" i="7" s="1"/>
  <c r="AC53" i="7" s="1"/>
  <c r="J37" i="7"/>
  <c r="AB37" i="7" s="1"/>
  <c r="AC37" i="7" s="1"/>
  <c r="J54" i="7"/>
  <c r="AB54" i="7" s="1"/>
  <c r="AC54" i="7" s="1"/>
  <c r="J59" i="7"/>
  <c r="AB59" i="7" s="1"/>
  <c r="AC59" i="7" s="1"/>
  <c r="L46" i="7"/>
  <c r="L35" i="7"/>
  <c r="J77" i="7"/>
  <c r="J60" i="7"/>
  <c r="AB60" i="7" s="1"/>
  <c r="AC60" i="7" s="1"/>
  <c r="J61" i="7"/>
  <c r="AB61" i="7" s="1"/>
  <c r="AC61" i="7" s="1"/>
  <c r="J64" i="7"/>
  <c r="AB64" i="7" s="1"/>
  <c r="AC64" i="7" s="1"/>
  <c r="J62" i="7"/>
  <c r="AB62" i="7" s="1"/>
  <c r="AC62" i="7" s="1"/>
  <c r="J58" i="7"/>
  <c r="AB58" i="7" s="1"/>
  <c r="AC58" i="7" s="1"/>
  <c r="J56" i="7"/>
  <c r="AB56" i="7" s="1"/>
  <c r="AC56" i="7" s="1"/>
  <c r="J51" i="7"/>
  <c r="AB51" i="7" s="1"/>
  <c r="AC51" i="7" s="1"/>
  <c r="J49" i="7"/>
  <c r="AB49" i="7" s="1"/>
  <c r="AC49" i="7" s="1"/>
  <c r="J47" i="7"/>
  <c r="AB47" i="7" s="1"/>
  <c r="AC47" i="7" s="1"/>
  <c r="J45" i="7"/>
  <c r="AB45" i="7" s="1"/>
  <c r="AC45" i="7" s="1"/>
  <c r="J43" i="7"/>
  <c r="AB43" i="7" s="1"/>
  <c r="AC43" i="7" s="1"/>
  <c r="J41" i="7"/>
  <c r="AB41" i="7" s="1"/>
  <c r="AC41" i="7" s="1"/>
  <c r="J38" i="7"/>
  <c r="AB38" i="7" s="1"/>
  <c r="AC38" i="7" s="1"/>
  <c r="J36" i="7"/>
  <c r="AB36" i="7" s="1"/>
  <c r="AC36" i="7" s="1"/>
  <c r="J39" i="7"/>
  <c r="AB39" i="7" s="1"/>
  <c r="AC39" i="7" s="1"/>
  <c r="J40" i="7"/>
  <c r="AB40" i="7" s="1"/>
  <c r="AC40" i="7" s="1"/>
  <c r="J63" i="7"/>
  <c r="AB63" i="7" s="1"/>
  <c r="AC63" i="7" s="1"/>
  <c r="L55" i="7"/>
  <c r="T77" i="7" l="1"/>
  <c r="Y77" i="7"/>
  <c r="AB77" i="7"/>
  <c r="AC77" i="7" s="1"/>
  <c r="AC79" i="7" s="1"/>
  <c r="C20" i="7" s="1"/>
  <c r="V35" i="7"/>
  <c r="T45" i="7"/>
  <c r="U45" i="7" s="1"/>
  <c r="Y45" i="7"/>
  <c r="AA45" i="7" s="1"/>
  <c r="W45" i="7"/>
  <c r="T63" i="7"/>
  <c r="V63" i="7" s="1"/>
  <c r="W63" i="7"/>
  <c r="Y63" i="7"/>
  <c r="AA63" i="7" s="1"/>
  <c r="T47" i="7"/>
  <c r="V47" i="7" s="1"/>
  <c r="Y47" i="7"/>
  <c r="AA47" i="7" s="1"/>
  <c r="W47" i="7"/>
  <c r="T58" i="7"/>
  <c r="U58" i="7" s="1"/>
  <c r="W58" i="7"/>
  <c r="Y58" i="7"/>
  <c r="AA58" i="7" s="1"/>
  <c r="T59" i="7"/>
  <c r="U59" i="7" s="1"/>
  <c r="W59" i="7"/>
  <c r="X59" i="7" s="1"/>
  <c r="Y59" i="7"/>
  <c r="AA59" i="7" s="1"/>
  <c r="V46" i="7"/>
  <c r="V55" i="7"/>
  <c r="T41" i="7"/>
  <c r="V41" i="7" s="1"/>
  <c r="Y41" i="7"/>
  <c r="AA41" i="7" s="1"/>
  <c r="W41" i="7"/>
  <c r="X41" i="7" s="1"/>
  <c r="T49" i="7"/>
  <c r="U49" i="7" s="1"/>
  <c r="Y49" i="7"/>
  <c r="AA49" i="7" s="1"/>
  <c r="W49" i="7"/>
  <c r="X49" i="7" s="1"/>
  <c r="T62" i="7"/>
  <c r="U62" i="7" s="1"/>
  <c r="Y62" i="7"/>
  <c r="AA62" i="7" s="1"/>
  <c r="W62" i="7"/>
  <c r="X62" i="7" s="1"/>
  <c r="Y54" i="7"/>
  <c r="AA54" i="7" s="1"/>
  <c r="W54" i="7"/>
  <c r="X54" i="7" s="1"/>
  <c r="T48" i="7"/>
  <c r="U48" i="7" s="1"/>
  <c r="Y48" i="7"/>
  <c r="AA48" i="7" s="1"/>
  <c r="W48" i="7"/>
  <c r="X48" i="7" s="1"/>
  <c r="T44" i="7"/>
  <c r="U44" i="7" s="1"/>
  <c r="Y44" i="7"/>
  <c r="AA44" i="7" s="1"/>
  <c r="W44" i="7"/>
  <c r="X44" i="7" s="1"/>
  <c r="T36" i="7"/>
  <c r="U36" i="7" s="1"/>
  <c r="Y36" i="7"/>
  <c r="AA36" i="7" s="1"/>
  <c r="W36" i="7"/>
  <c r="T56" i="7"/>
  <c r="U56" i="7" s="1"/>
  <c r="Y56" i="7"/>
  <c r="AA56" i="7" s="1"/>
  <c r="W56" i="7"/>
  <c r="X56" i="7" s="1"/>
  <c r="T61" i="7"/>
  <c r="V61" i="7" s="1"/>
  <c r="Y61" i="7"/>
  <c r="AA61" i="7" s="1"/>
  <c r="W61" i="7"/>
  <c r="X61" i="7" s="1"/>
  <c r="Y53" i="7"/>
  <c r="AA53" i="7" s="1"/>
  <c r="W53" i="7"/>
  <c r="X53" i="7" s="1"/>
  <c r="T42" i="7"/>
  <c r="U42" i="7" s="1"/>
  <c r="W42" i="7"/>
  <c r="X42" i="7" s="1"/>
  <c r="Y42" i="7"/>
  <c r="AA42" i="7" s="1"/>
  <c r="T38" i="7"/>
  <c r="U38" i="7" s="1"/>
  <c r="W38" i="7"/>
  <c r="X38" i="7" s="1"/>
  <c r="Y38" i="7"/>
  <c r="AA38" i="7" s="1"/>
  <c r="T60" i="7"/>
  <c r="U60" i="7" s="1"/>
  <c r="Y60" i="7"/>
  <c r="AA60" i="7" s="1"/>
  <c r="W60" i="7"/>
  <c r="X60" i="7" s="1"/>
  <c r="T57" i="7"/>
  <c r="V57" i="7" s="1"/>
  <c r="Y57" i="7"/>
  <c r="AA57" i="7" s="1"/>
  <c r="W57" i="7"/>
  <c r="X57" i="7" s="1"/>
  <c r="T52" i="7"/>
  <c r="V52" i="7" s="1"/>
  <c r="Y52" i="7"/>
  <c r="AA52" i="7" s="1"/>
  <c r="W52" i="7"/>
  <c r="X52" i="7" s="1"/>
  <c r="Y40" i="7"/>
  <c r="AA40" i="7" s="1"/>
  <c r="W40" i="7"/>
  <c r="X40" i="7" s="1"/>
  <c r="Y39" i="7"/>
  <c r="AA39" i="7" s="1"/>
  <c r="W39" i="7"/>
  <c r="X39" i="7" s="1"/>
  <c r="T43" i="7"/>
  <c r="U43" i="7" s="1"/>
  <c r="W43" i="7"/>
  <c r="X43" i="7" s="1"/>
  <c r="Y43" i="7"/>
  <c r="AA43" i="7" s="1"/>
  <c r="T51" i="7"/>
  <c r="V51" i="7" s="1"/>
  <c r="W51" i="7"/>
  <c r="X51" i="7" s="1"/>
  <c r="Y51" i="7"/>
  <c r="AA51" i="7" s="1"/>
  <c r="T64" i="7"/>
  <c r="U64" i="7" s="1"/>
  <c r="Y64" i="7"/>
  <c r="AA64" i="7" s="1"/>
  <c r="W64" i="7"/>
  <c r="X64" i="7" s="1"/>
  <c r="T37" i="7"/>
  <c r="V37" i="7" s="1"/>
  <c r="Y37" i="7"/>
  <c r="AA37" i="7" s="1"/>
  <c r="W37" i="7"/>
  <c r="X37" i="7" s="1"/>
  <c r="T50" i="7"/>
  <c r="V50" i="7" s="1"/>
  <c r="Y50" i="7"/>
  <c r="AA50" i="7" s="1"/>
  <c r="W50" i="7"/>
  <c r="X50" i="7" s="1"/>
  <c r="U47" i="7"/>
  <c r="V59" i="7"/>
  <c r="U52" i="7"/>
  <c r="L44" i="7"/>
  <c r="W77" i="7"/>
  <c r="X77" i="7" s="1"/>
  <c r="R77" i="7"/>
  <c r="C19" i="7" s="1"/>
  <c r="L77" i="7"/>
  <c r="AA77" i="7" s="1"/>
  <c r="Q41" i="7"/>
  <c r="Q49" i="7"/>
  <c r="L62" i="7"/>
  <c r="Q62" i="7"/>
  <c r="Q59" i="7"/>
  <c r="L57" i="7"/>
  <c r="Q57" i="7"/>
  <c r="Q43" i="7"/>
  <c r="X36" i="7"/>
  <c r="Q36" i="7"/>
  <c r="X45" i="7"/>
  <c r="Q45" i="7"/>
  <c r="Q56" i="7"/>
  <c r="Q61" i="7"/>
  <c r="Q37" i="7"/>
  <c r="L50" i="7"/>
  <c r="Q50" i="7"/>
  <c r="Q52" i="7"/>
  <c r="Q51" i="7"/>
  <c r="X63" i="7"/>
  <c r="Q63" i="7"/>
  <c r="L38" i="7"/>
  <c r="Q38" i="7"/>
  <c r="X47" i="7"/>
  <c r="Q47" i="7"/>
  <c r="X58" i="7"/>
  <c r="Q58" i="7"/>
  <c r="Q60" i="7"/>
  <c r="L42" i="7"/>
  <c r="Q42" i="7"/>
  <c r="Q44" i="7"/>
  <c r="L48" i="7"/>
  <c r="Q48" i="7"/>
  <c r="N54" i="7"/>
  <c r="O54" i="7" s="1"/>
  <c r="L53" i="7"/>
  <c r="N53" i="7"/>
  <c r="O53" i="7" s="1"/>
  <c r="O40" i="7"/>
  <c r="P40" i="7"/>
  <c r="Q40" i="7" s="1"/>
  <c r="P39" i="7"/>
  <c r="Q39" i="7" s="1"/>
  <c r="O39" i="7"/>
  <c r="Q64" i="7"/>
  <c r="L52" i="7"/>
  <c r="L47" i="7"/>
  <c r="L54" i="7"/>
  <c r="C82" i="7"/>
  <c r="E82" i="7" s="1"/>
  <c r="T16" i="7" s="1"/>
  <c r="L41" i="7"/>
  <c r="L36" i="7"/>
  <c r="L49" i="7"/>
  <c r="L37" i="7"/>
  <c r="L40" i="7"/>
  <c r="C83" i="7"/>
  <c r="E83" i="7" s="1"/>
  <c r="T17" i="7" s="1"/>
  <c r="C85" i="7"/>
  <c r="E85" i="7" s="1"/>
  <c r="T19" i="7" s="1"/>
  <c r="L61" i="7"/>
  <c r="L58" i="7"/>
  <c r="L56" i="7"/>
  <c r="L45" i="7"/>
  <c r="L64" i="7"/>
  <c r="L60" i="7"/>
  <c r="L43" i="7"/>
  <c r="C84" i="7"/>
  <c r="E84" i="7" s="1"/>
  <c r="T18" i="7" s="1"/>
  <c r="L51" i="7"/>
  <c r="L59" i="7"/>
  <c r="L39" i="7"/>
  <c r="L63" i="7"/>
  <c r="C17" i="7" l="1"/>
  <c r="V48" i="7"/>
  <c r="C16" i="7"/>
  <c r="U37" i="7"/>
  <c r="V58" i="7"/>
  <c r="U41" i="7"/>
  <c r="U61" i="7"/>
  <c r="V49" i="7"/>
  <c r="V60" i="7"/>
  <c r="U50" i="7"/>
  <c r="V38" i="7"/>
  <c r="V45" i="7"/>
  <c r="V43" i="7"/>
  <c r="V62" i="7"/>
  <c r="U51" i="7"/>
  <c r="AA79" i="7"/>
  <c r="C14" i="7" s="1"/>
  <c r="V42" i="7"/>
  <c r="V44" i="7"/>
  <c r="U57" i="7"/>
  <c r="U63" i="7"/>
  <c r="V56" i="7"/>
  <c r="V36" i="7"/>
  <c r="V64" i="7"/>
  <c r="O85" i="7"/>
  <c r="O82" i="7"/>
  <c r="O83" i="7"/>
  <c r="O84" i="7"/>
  <c r="U77" i="7"/>
  <c r="C21" i="7"/>
  <c r="S79" i="7"/>
  <c r="O79" i="7"/>
  <c r="Q79" i="7"/>
  <c r="X79" i="7"/>
  <c r="C15" i="7" s="1"/>
  <c r="O87" i="7" l="1"/>
  <c r="U79" i="7"/>
  <c r="V79" i="7"/>
  <c r="C18" i="7" s="1"/>
</calcChain>
</file>

<file path=xl/sharedStrings.xml><?xml version="1.0" encoding="utf-8"?>
<sst xmlns="http://schemas.openxmlformats.org/spreadsheetml/2006/main" count="283" uniqueCount="217">
  <si>
    <t>Stof</t>
  </si>
  <si>
    <t>A</t>
  </si>
  <si>
    <t>B</t>
  </si>
  <si>
    <t>C</t>
  </si>
  <si>
    <t>projectnummer :</t>
  </si>
  <si>
    <t>os</t>
  </si>
  <si>
    <t>lokatie of partij :</t>
  </si>
  <si>
    <t>–</t>
  </si>
  <si>
    <t>Wonen</t>
  </si>
  <si>
    <t>Industrie</t>
  </si>
  <si>
    <t>Parameters:</t>
  </si>
  <si>
    <t>toetsing door :</t>
  </si>
  <si>
    <t>datum toetsing :</t>
  </si>
  <si>
    <t>laboratorium :</t>
  </si>
  <si>
    <t>Perfluor-n-butaanzuur (PFBA)</t>
  </si>
  <si>
    <t>Perfluorpentaanzuur(PFPeA)</t>
  </si>
  <si>
    <t>Perfluor-n-hexaanzuur (PFHxA)</t>
  </si>
  <si>
    <t>Perfluor-n-heptaanzuur (PFHpa)</t>
  </si>
  <si>
    <t>Perfluor-n-nonaanzuur (PFNA)</t>
  </si>
  <si>
    <t>Perfluor-n-decaanzuur (PFDeA)</t>
  </si>
  <si>
    <t>Perfluorundecaanzuur (PFUnDA)</t>
  </si>
  <si>
    <t>Perfluordodecaanzuur (PFDoDA)</t>
  </si>
  <si>
    <t>Perfluortridecaanzuur (PFTrDA)</t>
  </si>
  <si>
    <t>Perfluortetradecaanzuur (PFTeDA)</t>
  </si>
  <si>
    <t>Perfluorohexadecaanzuur (PFHxDA)</t>
  </si>
  <si>
    <t>Perfluorooctadecaanzuur (PFODA)</t>
  </si>
  <si>
    <t>Perfluorbutaansulfonaat (PFBS)</t>
  </si>
  <si>
    <t>Perfluorpentaansulfonaat (PFPeS)</t>
  </si>
  <si>
    <t>Perfluorhexaansulfonaat (PFHxS)</t>
  </si>
  <si>
    <t>Perfluorheptaansulfonaat (PFHpS)</t>
  </si>
  <si>
    <t>Perfluordecaansulfonaat (PFDS)</t>
  </si>
  <si>
    <t>4:2 Fluortelomeer sulfonzuur</t>
  </si>
  <si>
    <t>6:2 Fluortelomeer sulfonzuur</t>
  </si>
  <si>
    <t>8:2 Fluortelomeer sulfonzuur (8:2)</t>
  </si>
  <si>
    <t>10:2 Fluortelomeer sulfonzuur</t>
  </si>
  <si>
    <t>Perfluoroctaansulfonamide (PFOSA)</t>
  </si>
  <si>
    <t>8:2 Fluortelomeer fosfaat diester (8:2 diPAP)</t>
  </si>
  <si>
    <t>Perfluoroctaansulfonamide(N-ethyl)acetaat (EtFOSAA)</t>
  </si>
  <si>
    <t>N-methyl perfluoroctaansulfonamide acetaat</t>
  </si>
  <si>
    <t>N-methyl perfluoroctaansulfonamide (MeFOSA)</t>
  </si>
  <si>
    <t>PFOS vertakt</t>
  </si>
  <si>
    <t>PFOA vertakt</t>
  </si>
  <si>
    <t>PFBA</t>
  </si>
  <si>
    <t>PFPeA</t>
  </si>
  <si>
    <t>PFHxA</t>
  </si>
  <si>
    <t>PFHpA</t>
  </si>
  <si>
    <t>PFOA</t>
  </si>
  <si>
    <t>PFNA</t>
  </si>
  <si>
    <t>PFUnDA</t>
  </si>
  <si>
    <t>PFTrDA</t>
  </si>
  <si>
    <t>PFTeDA</t>
  </si>
  <si>
    <t>PFHxDA</t>
  </si>
  <si>
    <t>PFODA</t>
  </si>
  <si>
    <t>PFBS</t>
  </si>
  <si>
    <t>PFPeS</t>
  </si>
  <si>
    <t>PFHxS</t>
  </si>
  <si>
    <t>PFHpS</t>
  </si>
  <si>
    <t>PFOS</t>
  </si>
  <si>
    <t>PFDS</t>
  </si>
  <si>
    <t>4:2 FTS</t>
  </si>
  <si>
    <t>6:2 FTS</t>
  </si>
  <si>
    <t>8:2 FTS</t>
  </si>
  <si>
    <t>10:2 FTS</t>
  </si>
  <si>
    <t>PFOSA</t>
  </si>
  <si>
    <t>8:2 diPAP</t>
  </si>
  <si>
    <t>N-EtFOSAA</t>
  </si>
  <si>
    <t>N-MeFOSAA</t>
  </si>
  <si>
    <t>N-MeFOSA</t>
  </si>
  <si>
    <t>PFAS normstelling per 8 juli 2019</t>
  </si>
  <si>
    <t>Bodemfunctieklasse</t>
  </si>
  <si>
    <t>Landbouw/natuur</t>
  </si>
  <si>
    <t>Landbouw/natuur bij Aw groter dan 0,1</t>
  </si>
  <si>
    <t>GenX</t>
  </si>
  <si>
    <t>Overige PFAS (per individuele stof)</t>
  </si>
  <si>
    <t>Interventiewaarden en normwaarden in de tabellen 1 en 2 van bijlage B en lokale maximale waarden zijn bodemtype-afhankelijk en gebaseerd op een standaardbodem met een lutum percentage van 25 % en een organische stof percentage van 10 %. Alleen de maximale waarden voor verspreiden in zoute oppervlaktewaterlichamen in tabel 2 van bijlage B en de emissiewaarden in de tabellen 1 en 2 van bijlage B zijn niet-bodemtype-afhankelijk.</t>
  </si>
  <si>
    <t>Bij de beoordeling van de kwaliteit van de bodem, bodem of oever van een oppervlaktewaterlichaam of toe te passen grond of baggerspecie op of in de bodem of in een oppervlaktewaterlichaam worden de gemeten gehalten middels een bodemtypecorrectie omgerekend naar standaardbodem. Bij de beoordeling aan de maximale waarde verspreiden in zoute oppervlaktewaterlichamen wordt geen bodemtypecorrectie toegepast. Toetsing vindt dan plaats met de werkelijk gemeten gehalten.</t>
  </si>
  <si>
    <t>De omrekening naar standaardbodem vindt plaats op basis van individuele meetwaarden, alvorens andere berekeningen (bepalen gemiddelden of P95) worden uitgevoerd. Bij het standaardiseren wordt gebruik gemaakt van de gemeten percentages organische stof en lutum. De gestandaardiseerde waarden worden, met inachtneming van de toetsingsregels, getoetst aan de normwaarden voor toepassen van grond of baggerspecie in oppervlaktewater, zoals die zijn opgenomen in de tabellen 1 en 2 van bijlage. Hierbij is het percentage aan organisch stof bepaald volgens NEN 5754. Hierbij is het percentage lutum het gewichtspercentage minerale bestanddelen met een diameter kleiner dan 2 µm betrokken op het drooggewicht.</t>
  </si>
  <si>
    <t>De omrekening van gemeten gehalten in bodem, bodem of oever van een oppervlaktewaterlichaam waterbodem, grond of baggerspecie naar een standaardbodem verloopt via de onderstaande formule:</t>
  </si>
  <si>
    <t>Hierin is:</t>
  </si>
  <si>
    <t>A,B,C Stofafhankelijke constanten voor metalen (zie tabel 3)</t>
  </si>
  <si>
    <t>% lutum Percentage lutum: het gewichtspercentage minerale bestanddelen met een diameter kleiner dan 2 µm betrokken op het totale drooggewicht van de bodem, oever grond of baggerspecie. Voor thermisch gereinigde grond en baggerspecie geldt de volgende uitzondering: indien het lutumpercentage lager is dan 10%, wordt bij de omrekening van de gemeten gehalten aan barium met een lutumpercentage van 10% gerekend.</t>
  </si>
  <si>
    <t>% organische stof Gemeten percentage organisch stof betrokken op het drooggewicht. Het percentage organisch stof kan voor zoute baggerspecie ook berekend worden uit het percentage organisch koolstof x 1,724. Voor het percentage organisch stof is een minimum en maximumwaarde gedefinieerd. Voor het percentage lutum is een minimumwaarde gedefinieerd. (zie tabel 4).</t>
  </si>
  <si>
    <t>Tabel 3 Stofafhankelijke constanten voor metalen en organische verbindingen</t>
  </si>
  <si>
    <t>Arseen</t>
  </si>
  <si>
    <t>Barium</t>
  </si>
  <si>
    <t>Berylium</t>
  </si>
  <si>
    <t>Cadmium</t>
  </si>
  <si>
    <t>Chroom</t>
  </si>
  <si>
    <t>Kobalt</t>
  </si>
  <si>
    <t>Koper</t>
  </si>
  <si>
    <t>Kwik</t>
  </si>
  <si>
    <t>Lood</t>
  </si>
  <si>
    <t>Nikkel</t>
  </si>
  <si>
    <t>Tin</t>
  </si>
  <si>
    <t>Vanadium</t>
  </si>
  <si>
    <t>Zink</t>
  </si>
  <si>
    <t>Organische verbindingen</t>
  </si>
  <si>
    <t>Overige verbindingen</t>
  </si>
  <si>
    <t>Tabel 4 minimum en maximum waarde</t>
  </si>
  <si>
    <t>% organische stof</t>
  </si>
  <si>
    <t>% lutum</t>
  </si>
  <si>
    <t>stofgroep</t>
  </si>
  <si>
    <t>Minimum</t>
  </si>
  <si>
    <t>Maximum</t>
  </si>
  <si>
    <t>Anorganische parameters</t>
  </si>
  <si>
    <t>Organische parameters</t>
  </si>
  <si>
    <t>PAK's</t>
  </si>
  <si>
    <t>De berekening van de meersoorten Potentieel Aangetast Fractie (msPAF) als aparte normwaarde bij het beoordelen van de kwaliteit van baggerspecie die conform artikel 35, onderdeel f, van het Besluit bodemkwaliteit wordt verspreid op het aangrenzend perceel heeft een aparte vorm van standaardisatie. De minimum en maximumwaarden zoals opgenomen in tabel 4 worden niet gehanteerd bij het berekenen van de msPAF, met uitzondering van de minimumwaarde voor de organische parameters genoemd in deze tabel.</t>
  </si>
  <si>
    <r>
      <t>III. Formules bodemtypecorrectie bodem, bodem of oever van een oppervlaktewaterlichaam, bij toepassing en verspreiden van grond of baggerspecie volgens de toetsingskaders in </t>
    </r>
    <r>
      <rPr>
        <b/>
        <u/>
        <sz val="9"/>
        <color rgb="FF154273"/>
        <rFont val="Calibri"/>
        <family val="2"/>
        <scheme val="minor"/>
      </rPr>
      <t>paragraaf 2</t>
    </r>
    <r>
      <rPr>
        <b/>
        <sz val="9"/>
        <color rgb="FF333333"/>
        <rFont val="Calibri"/>
        <family val="2"/>
        <scheme val="minor"/>
      </rPr>
      <t> en </t>
    </r>
    <r>
      <rPr>
        <b/>
        <u/>
        <sz val="9"/>
        <color rgb="FF154273"/>
        <rFont val="Calibri"/>
        <family val="2"/>
        <scheme val="minor"/>
      </rPr>
      <t>3 van afdeling 2 van hoofdstuk 4 van het Besluit bodemkwaliteit</t>
    </r>
    <r>
      <rPr>
        <b/>
        <sz val="9"/>
        <color rgb="FF333333"/>
        <rFont val="Calibri"/>
        <family val="2"/>
        <scheme val="minor"/>
      </rPr>
      <t>, behorende bij de </t>
    </r>
    <r>
      <rPr>
        <b/>
        <u/>
        <sz val="9"/>
        <color rgb="FF154273"/>
        <rFont val="Calibri"/>
        <family val="2"/>
        <scheme val="minor"/>
      </rPr>
      <t>artikelen 3.9.5</t>
    </r>
    <r>
      <rPr>
        <b/>
        <sz val="9"/>
        <color rgb="FF333333"/>
        <rFont val="Calibri"/>
        <family val="2"/>
        <scheme val="minor"/>
      </rPr>
      <t>, </t>
    </r>
    <r>
      <rPr>
        <b/>
        <u/>
        <sz val="9"/>
        <color rgb="FF154273"/>
        <rFont val="Calibri"/>
        <family val="2"/>
        <scheme val="minor"/>
      </rPr>
      <t>4. 2.1</t>
    </r>
    <r>
      <rPr>
        <b/>
        <sz val="9"/>
        <color rgb="FF333333"/>
        <rFont val="Calibri"/>
        <family val="2"/>
        <scheme val="minor"/>
      </rPr>
      <t> en </t>
    </r>
    <r>
      <rPr>
        <b/>
        <u/>
        <sz val="9"/>
        <color rgb="FF154273"/>
        <rFont val="Calibri"/>
        <family val="2"/>
        <scheme val="minor"/>
      </rPr>
      <t>4.2.2</t>
    </r>
  </si>
  <si>
    <r>
      <t>G </t>
    </r>
    <r>
      <rPr>
        <vertAlign val="subscript"/>
        <sz val="9"/>
        <color rgb="FF333333"/>
        <rFont val="Calibri"/>
        <family val="2"/>
        <scheme val="minor"/>
      </rPr>
      <t>standaard</t>
    </r>
    <r>
      <rPr>
        <sz val="9"/>
        <color rgb="FF333333"/>
        <rFont val="Calibri"/>
        <family val="2"/>
        <scheme val="minor"/>
      </rPr>
      <t> Gestandaardiseerd gehalte</t>
    </r>
  </si>
  <si>
    <r>
      <t>G </t>
    </r>
    <r>
      <rPr>
        <vertAlign val="subscript"/>
        <sz val="9"/>
        <color rgb="FF333333"/>
        <rFont val="Calibri"/>
        <family val="2"/>
        <scheme val="minor"/>
      </rPr>
      <t>gemeten</t>
    </r>
    <r>
      <rPr>
        <sz val="9"/>
        <color rgb="FF333333"/>
        <rFont val="Calibri"/>
        <family val="2"/>
        <scheme val="minor"/>
      </rPr>
      <t> Gemeten gehalte</t>
    </r>
  </si>
  <si>
    <r>
      <t>Antimoon</t>
    </r>
    <r>
      <rPr>
        <vertAlign val="superscript"/>
        <sz val="9"/>
        <rFont val="Calibri"/>
        <family val="2"/>
        <scheme val="minor"/>
      </rPr>
      <t>1</t>
    </r>
  </si>
  <si>
    <r>
      <t>Molybdeen</t>
    </r>
    <r>
      <rPr>
        <vertAlign val="superscript"/>
        <sz val="9"/>
        <rFont val="Calibri"/>
        <family val="2"/>
        <scheme val="minor"/>
      </rPr>
      <t>1</t>
    </r>
  </si>
  <si>
    <r>
      <t>Thallium</t>
    </r>
    <r>
      <rPr>
        <vertAlign val="superscript"/>
        <sz val="9"/>
        <rFont val="Calibri"/>
        <family val="2"/>
        <scheme val="minor"/>
      </rPr>
      <t>1</t>
    </r>
  </si>
  <si>
    <r>
      <t>1</t>
    </r>
    <r>
      <rPr>
        <sz val="9"/>
        <color rgb="FF333333"/>
        <rFont val="Calibri"/>
        <family val="2"/>
        <scheme val="minor"/>
      </rPr>
      <t> Voor antimoon, molybdeen en thallium wordt geen bodemtypecorrectie gehanteerd.</t>
    </r>
  </si>
  <si>
    <t>PFAS is organisch</t>
  </si>
  <si>
    <t>verh. Meting</t>
  </si>
  <si>
    <t xml:space="preserve">Grootste verhouding meetwaarden: </t>
  </si>
  <si>
    <t>PFAS overig</t>
  </si>
  <si>
    <t>Landbouw/Natuur</t>
  </si>
  <si>
    <t>Niet toepasbaar</t>
  </si>
  <si>
    <t>L/N :</t>
  </si>
  <si>
    <t>W of I :</t>
  </si>
  <si>
    <t>NT :</t>
  </si>
  <si>
    <t>GenX :</t>
  </si>
  <si>
    <t>Overige PFAS :</t>
  </si>
  <si>
    <t>PFOS Vertakt</t>
  </si>
  <si>
    <t>PFOS Linear</t>
  </si>
  <si>
    <t>PFOA Vertakt</t>
  </si>
  <si>
    <t>PFOA Linear</t>
  </si>
  <si>
    <t>Sheetversie</t>
  </si>
  <si>
    <t>Ontwerper</t>
  </si>
  <si>
    <t>organische stof(% m/m ds)</t>
  </si>
  <si>
    <t>PFAS in µg/kg ds</t>
  </si>
  <si>
    <t xml:space="preserve">Opmerkingen : </t>
  </si>
  <si>
    <t>Datum</t>
  </si>
  <si>
    <t xml:space="preserve">Organische stof(% m/m ds) met correctie tot 30 </t>
  </si>
  <si>
    <t>Wonen of industrie</t>
  </si>
  <si>
    <t>info@bosmilieuadvies.nl</t>
  </si>
  <si>
    <t>www.bosmilieuadvies.nl</t>
  </si>
  <si>
    <t>Toets norm SOM PFOS (Linear+Vertakt) :</t>
  </si>
  <si>
    <t>Toets norm SOM PFOA (Linear+Vertakt) :</t>
  </si>
  <si>
    <t>SOM PFOA (linear+vertakt) mm 2</t>
  </si>
  <si>
    <t>SOM PFOA (linear+vertakt) mm 1</t>
  </si>
  <si>
    <t>SOM PFOS (linear+vertakt) mm 2</t>
  </si>
  <si>
    <t>SOM PFOS (linear+vertakt) mm 1</t>
  </si>
  <si>
    <t>Gemiddeld</t>
  </si>
  <si>
    <t>Individueel</t>
  </si>
  <si>
    <t>PFAS</t>
  </si>
  <si>
    <t>Monsters:</t>
  </si>
  <si>
    <t>kenmerk analysecertificaat :</t>
  </si>
  <si>
    <t>datum analysecertificaat :</t>
  </si>
  <si>
    <t>Perfluor-n-octaanzuur (PFOA linear)</t>
  </si>
  <si>
    <t>Perfluoroctaansulfonzuur (PFOS linear)</t>
  </si>
  <si>
    <t>&lt;</t>
  </si>
  <si>
    <t>correctie detectielimitieten</t>
  </si>
  <si>
    <t>Analyse met detectie -en bodemcorrectie</t>
  </si>
  <si>
    <t>Indicatief</t>
  </si>
  <si>
    <t>AP04</t>
  </si>
  <si>
    <t>Landelijk</t>
  </si>
  <si>
    <t>Lokaal</t>
  </si>
  <si>
    <t>Achtergrondwaarde</t>
  </si>
  <si>
    <t>Klasse</t>
  </si>
  <si>
    <r>
      <t xml:space="preserve">Soort onderzoek </t>
    </r>
    <r>
      <rPr>
        <b/>
        <i/>
        <sz val="8"/>
        <rFont val="Calibri"/>
        <family val="2"/>
        <scheme val="minor"/>
      </rPr>
      <t>(Indicatief of AP04)</t>
    </r>
    <r>
      <rPr>
        <i/>
        <sz val="8"/>
        <rFont val="Calibri"/>
        <family val="2"/>
        <scheme val="minor"/>
      </rPr>
      <t xml:space="preserve"> :</t>
    </r>
  </si>
  <si>
    <t>waarde</t>
  </si>
  <si>
    <t>Analyses invoeren:</t>
  </si>
  <si>
    <t>Toetswaarde</t>
  </si>
  <si>
    <t>Opmerkingen :</t>
  </si>
  <si>
    <r>
      <t xml:space="preserve">Indien blijkt dat bij de individuele PFOS/PFOA toetsing aan de </t>
    </r>
    <r>
      <rPr>
        <b/>
        <i/>
        <sz val="8"/>
        <rFont val="Calibri"/>
        <family val="2"/>
        <scheme val="minor"/>
      </rPr>
      <t xml:space="preserve">bepalingsgrens (0,1) wordt voldaan </t>
    </r>
    <r>
      <rPr>
        <i/>
        <sz val="8"/>
        <rFont val="Calibri"/>
        <family val="2"/>
        <scheme val="minor"/>
      </rPr>
      <t>aan toepassing Landbouw/Natuur cq Aw dan geldt de toepassingsmogelijkheid van Landbouw/Natuur cq Aw en hoeft de som niet getoetst te worden.</t>
    </r>
    <r>
      <rPr>
        <b/>
        <i/>
        <sz val="8"/>
        <rFont val="Calibri"/>
        <family val="2"/>
        <scheme val="minor"/>
      </rPr>
      <t xml:space="preserve"> LET OP: Lokaal beleid kan afwijken van het landelijk beleid!</t>
    </r>
  </si>
  <si>
    <t>HPFHpa</t>
  </si>
  <si>
    <t>(Cl-PF30NS</t>
  </si>
  <si>
    <t>EtFOSA</t>
  </si>
  <si>
    <t>MeFBSA</t>
  </si>
  <si>
    <t>PFBSA</t>
  </si>
  <si>
    <t>PFDoDa</t>
  </si>
  <si>
    <t>PFOS linear</t>
  </si>
  <si>
    <t>PFOA linear</t>
  </si>
  <si>
    <t>PFDeA</t>
  </si>
  <si>
    <t>MeFB</t>
  </si>
  <si>
    <t>Toetsing PFAS (28 of 38) :</t>
  </si>
  <si>
    <t>Toepassing in oppervlakte-water</t>
  </si>
  <si>
    <t xml:space="preserve"> SOM PFOS (Linear+Vertakt) analysewaarde lab</t>
  </si>
  <si>
    <t xml:space="preserve"> SOM PFOA (Linear+vertakt) analysewaarde lab</t>
  </si>
  <si>
    <t>PFOA (som) analysewaarde lab</t>
  </si>
  <si>
    <t>PFOS (som) analysewaarde lab</t>
  </si>
  <si>
    <t>Landbouw/natuur bij Aw groter dan 1,4/1,9 en &lt; lokale  PFAS</t>
  </si>
  <si>
    <t>Vrij toepasbaar in oppervlaktewater</t>
  </si>
  <si>
    <t>Vrij toepasbaar in Rijkswater</t>
  </si>
  <si>
    <t>Niet vrijliggende diepe plas in open verbinding met een Rijkswater</t>
  </si>
  <si>
    <t>Wonen / Industrie</t>
  </si>
  <si>
    <t>Grond en baggerspecie en GBT onder grondwaterniveau</t>
  </si>
  <si>
    <t>(m.u.v. grondwaterbeschermingsgebieden)</t>
  </si>
  <si>
    <t>Toepassing in Rijkswater</t>
  </si>
  <si>
    <t>Toets norm PFOS individueel Linear :</t>
  </si>
  <si>
    <t>Toets norm PFOS individueel Vertakt :</t>
  </si>
  <si>
    <t>Toets norm PFOA individueel Linear :</t>
  </si>
  <si>
    <t>Toets norm PFOA individueel Vertakt :</t>
  </si>
  <si>
    <t>Als één of meerdere PFAS gehalten zijn aangetoond boven de toepassingsnormen (7 µg/kg ds voor PFOA, 3 µg/kg ds voor PFOS, overige PFAS en GenX) , kan de partij niet meer ingedeeld worden in de kwaliteitsklasse en is deze Niet Toepasbaar. Toepassing van de partij kan alleen plaatsvinden indien in het betreffende toepassingsgebied verhoogde Lokale Maximale Waarden (LMW) door het bevoegd gezag zijn vastgesteld in het kader van gebiedsspecifiek beleid.</t>
  </si>
  <si>
    <t>Toepassing in grondwaterbeschermingsgebied :</t>
  </si>
  <si>
    <t>Toepassing in Grondwater-beschermings-gebied</t>
  </si>
  <si>
    <t>In Rijkswater en in Niet vrijliggende diepe plas in open verbinding met een Rijkswater :</t>
  </si>
  <si>
    <t>© Bosmilieuadvies BV, 2021</t>
  </si>
  <si>
    <t>GBT en baggerspecie</t>
  </si>
  <si>
    <t>Toepassing in grondwaterbeschermingsgebieden (of cf. gebiedskwaliteit)</t>
  </si>
  <si>
    <t>Toepassing grond en baggerspecie in oppervlaktewaterlichaam</t>
  </si>
  <si>
    <t>Andere diepe plassen</t>
  </si>
  <si>
    <t>Toepassing grond en baggerspecie op de bodem</t>
  </si>
  <si>
    <t>Landbouw / natuur</t>
  </si>
  <si>
    <t>In oppervlaktewaterlichaam en in andere diepe plas :</t>
  </si>
  <si>
    <t>Beoordeling Handelingskader PFAS 13 december 2021</t>
  </si>
  <si>
    <t>Op 15 juni 2020 is door Eurofins Analytico aangegeven dat de sommatie van PFOS en PFOA zoals door het lab gerapporteerd correct is en niet verifieerbaar voor derden. Zodoende dienen de labwaarden aangehouden te worden evt. met correctie organische stof. Per 13 december 2021 is Handelingskader PFAS van kracht geworden. Bosmilieuadvies BV is niet aansprakelijk voor eventuele onjuistheden in voorliggende toetsing. Op- en aanmerkingen graag doorgeven via onderstaande contactgegevens.</t>
  </si>
  <si>
    <t>PFAS toepassingswaarden Grond en baggerspecie 13 december 2021 (µg/kg ds)</t>
  </si>
  <si>
    <t>Eurofins Analytico / SGS Intron</t>
  </si>
  <si>
    <t>3.7</t>
  </si>
  <si>
    <t>Indien alleen toetsing monster 1 (indicatief) nodig is dan dezelfde waarden bij monster 2 hanteren (automatische invulling)</t>
  </si>
  <si>
    <r>
      <t xml:space="preserve">Toetsing aan beleid </t>
    </r>
    <r>
      <rPr>
        <b/>
        <i/>
        <sz val="8"/>
        <rFont val="Calibri"/>
        <family val="2"/>
        <scheme val="minor"/>
      </rPr>
      <t>(landelijk of lokaal)</t>
    </r>
    <r>
      <rPr>
        <i/>
        <sz val="8"/>
        <rFont val="Calibri"/>
        <family val="2"/>
        <scheme val="minor"/>
      </rPr>
      <t xml:space="preserve"> :</t>
    </r>
  </si>
  <si>
    <r>
      <t xml:space="preserve"> Resultaat NEN of AP04 onderzoek </t>
    </r>
    <r>
      <rPr>
        <b/>
        <i/>
        <sz val="8"/>
        <rFont val="Calibri"/>
        <family val="2"/>
        <scheme val="minor"/>
      </rPr>
      <t xml:space="preserve">(Aw, W, I) </t>
    </r>
    <r>
      <rPr>
        <i/>
        <sz val="8"/>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</si>
</sst>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13]d\ mmmm\ yyyy;@"/>
    <numFmt numFmtId="166" formatCode="0.000"/>
    <numFmt numFmtId="167" formatCode="\&lt;#########0.0"/>
  </numFmts>
  <fonts count="33" x14ac:knownFonts="1">
    <font>
      <sz val="10"/>
      <name val="Arial"/>
    </font>
    <font>
      <sz val="8"/>
      <name val="Arial"/>
      <family val="2"/>
    </font>
    <font>
      <u/>
      <sz val="10"/>
      <color indexed="12"/>
      <name val="Arial"/>
      <family val="2"/>
    </font>
    <font>
      <sz val="9"/>
      <name val="Calibri"/>
      <family val="2"/>
      <scheme val="minor"/>
    </font>
    <font>
      <i/>
      <sz val="8"/>
      <color indexed="10"/>
      <name val="Calibri"/>
      <family val="2"/>
      <scheme val="minor"/>
    </font>
    <font>
      <i/>
      <sz val="8"/>
      <name val="Calibri"/>
      <family val="2"/>
      <scheme val="minor"/>
    </font>
    <font>
      <b/>
      <sz val="9"/>
      <name val="Calibri"/>
      <family val="2"/>
      <scheme val="minor"/>
    </font>
    <font>
      <sz val="8"/>
      <name val="Calibri"/>
      <family val="2"/>
      <scheme val="minor"/>
    </font>
    <font>
      <sz val="8"/>
      <color rgb="FF000000"/>
      <name val="Calibri"/>
      <family val="2"/>
      <scheme val="minor"/>
    </font>
    <font>
      <sz val="12"/>
      <name val="Calibri"/>
      <family val="2"/>
      <scheme val="minor"/>
    </font>
    <font>
      <b/>
      <sz val="12"/>
      <name val="Calibri"/>
      <family val="2"/>
      <scheme val="minor"/>
    </font>
    <font>
      <b/>
      <sz val="9"/>
      <color rgb="FF333333"/>
      <name val="Calibri"/>
      <family val="2"/>
      <scheme val="minor"/>
    </font>
    <font>
      <b/>
      <u/>
      <sz val="9"/>
      <color rgb="FF154273"/>
      <name val="Calibri"/>
      <family val="2"/>
      <scheme val="minor"/>
    </font>
    <font>
      <u/>
      <sz val="9"/>
      <color indexed="12"/>
      <name val="Calibri"/>
      <family val="2"/>
      <scheme val="minor"/>
    </font>
    <font>
      <sz val="9"/>
      <color rgb="FF333333"/>
      <name val="Calibri"/>
      <family val="2"/>
      <scheme val="minor"/>
    </font>
    <font>
      <vertAlign val="subscript"/>
      <sz val="9"/>
      <color rgb="FF333333"/>
      <name val="Calibri"/>
      <family val="2"/>
      <scheme val="minor"/>
    </font>
    <font>
      <vertAlign val="superscript"/>
      <sz val="9"/>
      <name val="Calibri"/>
      <family val="2"/>
      <scheme val="minor"/>
    </font>
    <font>
      <vertAlign val="superscript"/>
      <sz val="9"/>
      <color rgb="FF333333"/>
      <name val="Calibri"/>
      <family val="2"/>
      <scheme val="minor"/>
    </font>
    <font>
      <b/>
      <sz val="8"/>
      <name val="Calibri"/>
      <family val="2"/>
      <scheme val="minor"/>
    </font>
    <font>
      <b/>
      <i/>
      <sz val="8"/>
      <name val="Calibri"/>
      <family val="2"/>
      <scheme val="minor"/>
    </font>
    <font>
      <sz val="10"/>
      <name val="Calibri"/>
      <family val="2"/>
      <scheme val="minor"/>
    </font>
    <font>
      <i/>
      <sz val="10"/>
      <name val="Calibri"/>
      <family val="2"/>
      <scheme val="minor"/>
    </font>
    <font>
      <sz val="10"/>
      <color theme="1"/>
      <name val="Calibri"/>
      <family val="2"/>
      <scheme val="minor"/>
    </font>
    <font>
      <i/>
      <sz val="8"/>
      <color theme="1"/>
      <name val="Calibri"/>
      <family val="2"/>
      <scheme val="minor"/>
    </font>
    <font>
      <sz val="10"/>
      <name val="Arial"/>
      <family val="2"/>
    </font>
    <font>
      <b/>
      <sz val="10"/>
      <name val="Arial"/>
      <family val="2"/>
    </font>
    <font>
      <u/>
      <sz val="9"/>
      <name val="Calibri"/>
      <family val="2"/>
      <scheme val="minor"/>
    </font>
    <font>
      <sz val="9"/>
      <color rgb="FF000000"/>
      <name val="Calibri"/>
      <family val="2"/>
      <scheme val="minor"/>
    </font>
    <font>
      <b/>
      <sz val="9"/>
      <color rgb="FF000000"/>
      <name val="Calibri"/>
      <family val="2"/>
      <scheme val="minor"/>
    </font>
    <font>
      <sz val="8"/>
      <color theme="1"/>
      <name val="Calibri"/>
      <family val="2"/>
      <scheme val="minor"/>
    </font>
    <font>
      <b/>
      <sz val="8"/>
      <color rgb="FFFF0000"/>
      <name val="Calibri"/>
      <family val="2"/>
      <scheme val="minor"/>
    </font>
    <font>
      <sz val="6"/>
      <name val="Calibri"/>
      <family val="2"/>
      <scheme val="minor"/>
    </font>
    <font>
      <sz val="8"/>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10">
    <xf numFmtId="0" fontId="0" fillId="0" borderId="0" xfId="0"/>
    <xf numFmtId="0" fontId="3" fillId="0" borderId="0" xfId="0" applyFont="1"/>
    <xf numFmtId="0" fontId="9" fillId="0" borderId="0" xfId="0" applyFont="1"/>
    <xf numFmtId="0" fontId="10" fillId="0" borderId="0" xfId="0" applyFont="1"/>
    <xf numFmtId="164" fontId="9" fillId="0" borderId="0" xfId="0" applyNumberFormat="1" applyFont="1" applyAlignment="1">
      <alignment horizontal="center"/>
    </xf>
    <xf numFmtId="0" fontId="10" fillId="0" borderId="0" xfId="0" applyFont="1" applyAlignment="1">
      <alignment wrapText="1"/>
    </xf>
    <xf numFmtId="0" fontId="9" fillId="0" borderId="0" xfId="0" applyFont="1" applyAlignment="1">
      <alignment horizontal="right"/>
    </xf>
    <xf numFmtId="0" fontId="11" fillId="0" borderId="0" xfId="0" applyFont="1"/>
    <xf numFmtId="0" fontId="13" fillId="0" borderId="0" xfId="1" applyFont="1" applyAlignment="1" applyProtection="1"/>
    <xf numFmtId="0" fontId="14" fillId="0" borderId="0" xfId="0" applyFont="1"/>
    <xf numFmtId="0" fontId="6" fillId="0" borderId="0" xfId="0" applyFont="1"/>
    <xf numFmtId="0" fontId="17" fillId="0" borderId="0" xfId="0" applyFont="1"/>
    <xf numFmtId="0" fontId="3" fillId="2" borderId="0" xfId="0" applyFont="1" applyFill="1"/>
    <xf numFmtId="0" fontId="7" fillId="0" borderId="0" xfId="0" applyFont="1" applyBorder="1" applyAlignment="1" applyProtection="1">
      <alignment horizontal="right"/>
      <protection hidden="1"/>
    </xf>
    <xf numFmtId="0" fontId="7" fillId="0" borderId="0" xfId="0" applyFont="1" applyBorder="1" applyProtection="1">
      <protection hidden="1"/>
    </xf>
    <xf numFmtId="0" fontId="8" fillId="0" borderId="0" xfId="0" applyFont="1" applyProtection="1">
      <protection hidden="1"/>
    </xf>
    <xf numFmtId="0" fontId="8" fillId="0" borderId="0" xfId="0" applyFont="1" applyAlignment="1" applyProtection="1">
      <alignment horizontal="right"/>
      <protection hidden="1"/>
    </xf>
    <xf numFmtId="0" fontId="7" fillId="0" borderId="0" xfId="0" applyFont="1" applyProtection="1">
      <protection hidden="1"/>
    </xf>
    <xf numFmtId="165" fontId="7" fillId="0" borderId="0" xfId="0" applyNumberFormat="1" applyFont="1" applyBorder="1" applyAlignment="1" applyProtection="1">
      <alignment horizontal="left" vertical="center"/>
      <protection hidden="1"/>
    </xf>
    <xf numFmtId="0" fontId="7" fillId="0" borderId="0" xfId="1" applyFont="1" applyBorder="1" applyAlignment="1" applyProtection="1">
      <alignment vertical="top"/>
      <protection hidden="1"/>
    </xf>
    <xf numFmtId="0" fontId="5" fillId="0" borderId="0" xfId="0" applyFont="1" applyAlignment="1" applyProtection="1">
      <alignment horizontal="right"/>
      <protection hidden="1"/>
    </xf>
    <xf numFmtId="0" fontId="7" fillId="0" borderId="0" xfId="0" applyFont="1" applyAlignment="1" applyProtection="1">
      <alignment horizontal="right"/>
      <protection hidden="1"/>
    </xf>
    <xf numFmtId="0" fontId="5" fillId="0" borderId="0" xfId="0" applyFont="1" applyAlignment="1" applyProtection="1">
      <alignment horizontal="right" vertical="center" wrapText="1"/>
      <protection hidden="1"/>
    </xf>
    <xf numFmtId="0" fontId="18" fillId="0" borderId="0" xfId="0" applyFont="1" applyFill="1" applyBorder="1" applyAlignment="1" applyProtection="1">
      <alignment horizontal="center" vertical="top" wrapText="1"/>
      <protection hidden="1"/>
    </xf>
    <xf numFmtId="0" fontId="5" fillId="0" borderId="0" xfId="0" applyFont="1" applyFill="1" applyAlignment="1" applyProtection="1">
      <alignment horizontal="right" vertical="center" wrapText="1"/>
      <protection hidden="1"/>
    </xf>
    <xf numFmtId="0" fontId="5" fillId="0" borderId="0" xfId="0" applyFont="1" applyFill="1" applyBorder="1" applyAlignment="1" applyProtection="1">
      <alignment horizontal="right" vertical="center" wrapText="1"/>
      <protection hidden="1"/>
    </xf>
    <xf numFmtId="164" fontId="18" fillId="0" borderId="0" xfId="0" applyNumberFormat="1" applyFont="1" applyFill="1" applyBorder="1" applyAlignment="1" applyProtection="1">
      <alignment horizontal="center" vertical="top" wrapText="1"/>
      <protection hidden="1"/>
    </xf>
    <xf numFmtId="0" fontId="7" fillId="0" borderId="0" xfId="0" applyFont="1" applyFill="1" applyProtection="1">
      <protection hidden="1"/>
    </xf>
    <xf numFmtId="0" fontId="18" fillId="0" borderId="0" xfId="0" applyFont="1" applyAlignment="1" applyProtection="1">
      <alignment horizontal="right"/>
      <protection hidden="1"/>
    </xf>
    <xf numFmtId="0" fontId="18" fillId="0" borderId="0" xfId="0" applyFont="1" applyAlignment="1" applyProtection="1">
      <alignment horizontal="left"/>
      <protection hidden="1"/>
    </xf>
    <xf numFmtId="0" fontId="18" fillId="0" borderId="0" xfId="0" applyFont="1" applyBorder="1" applyAlignment="1" applyProtection="1">
      <alignment wrapText="1"/>
      <protection hidden="1"/>
    </xf>
    <xf numFmtId="0" fontId="18" fillId="0" borderId="0" xfId="0" applyFont="1" applyAlignment="1" applyProtection="1">
      <alignment vertical="top"/>
      <protection hidden="1"/>
    </xf>
    <xf numFmtId="0" fontId="5" fillId="0" borderId="0" xfId="0" applyFont="1" applyAlignment="1" applyProtection="1">
      <alignment horizontal="right" wrapText="1"/>
      <protection hidden="1"/>
    </xf>
    <xf numFmtId="0" fontId="7" fillId="0" borderId="5" xfId="0" applyFont="1" applyBorder="1" applyProtection="1">
      <protection hidden="1"/>
    </xf>
    <xf numFmtId="0" fontId="7" fillId="0" borderId="4" xfId="0" applyFont="1" applyBorder="1" applyProtection="1">
      <protection hidden="1"/>
    </xf>
    <xf numFmtId="0" fontId="7" fillId="0" borderId="0" xfId="0" applyFont="1" applyAlignment="1" applyProtection="1">
      <alignment horizontal="center"/>
      <protection hidden="1"/>
    </xf>
    <xf numFmtId="0" fontId="18" fillId="0" borderId="0" xfId="0" applyFont="1" applyBorder="1" applyProtection="1">
      <protection hidden="1"/>
    </xf>
    <xf numFmtId="2" fontId="7" fillId="0" borderId="0" xfId="0" applyNumberFormat="1" applyFont="1" applyBorder="1" applyProtection="1">
      <protection hidden="1"/>
    </xf>
    <xf numFmtId="2" fontId="7" fillId="0" borderId="0" xfId="0" applyNumberFormat="1" applyFont="1" applyBorder="1" applyAlignment="1" applyProtection="1">
      <alignment horizontal="center"/>
      <protection hidden="1"/>
    </xf>
    <xf numFmtId="1" fontId="7" fillId="0" borderId="0" xfId="0" applyNumberFormat="1" applyFont="1" applyBorder="1" applyAlignment="1" applyProtection="1">
      <alignment horizontal="center"/>
      <protection hidden="1"/>
    </xf>
    <xf numFmtId="164" fontId="7" fillId="0" borderId="0" xfId="0" applyNumberFormat="1" applyFont="1" applyAlignment="1" applyProtection="1">
      <alignment horizontal="center"/>
      <protection hidden="1"/>
    </xf>
    <xf numFmtId="0" fontId="7" fillId="0" borderId="0" xfId="0" applyFont="1" applyAlignment="1" applyProtection="1">
      <protection hidden="1"/>
    </xf>
    <xf numFmtId="1" fontId="7" fillId="0" borderId="0" xfId="0" applyNumberFormat="1" applyFont="1" applyProtection="1">
      <protection hidden="1"/>
    </xf>
    <xf numFmtId="0" fontId="7" fillId="0" borderId="0" xfId="0" applyFont="1" applyBorder="1" applyAlignment="1" applyProtection="1">
      <protection hidden="1"/>
    </xf>
    <xf numFmtId="0" fontId="18" fillId="0" borderId="0" xfId="0" applyFont="1" applyAlignment="1" applyProtection="1">
      <alignment wrapText="1"/>
      <protection hidden="1"/>
    </xf>
    <xf numFmtId="0" fontId="18" fillId="0" borderId="0" xfId="0" applyFont="1" applyAlignment="1" applyProtection="1">
      <alignment horizontal="center"/>
      <protection hidden="1"/>
    </xf>
    <xf numFmtId="164" fontId="18" fillId="0" borderId="9" xfId="0" applyNumberFormat="1" applyFont="1" applyFill="1" applyBorder="1" applyAlignment="1" applyProtection="1">
      <alignment horizontal="center" vertical="center" wrapText="1"/>
      <protection hidden="1"/>
    </xf>
    <xf numFmtId="0" fontId="7" fillId="0" borderId="0" xfId="0" applyFont="1" applyAlignment="1" applyProtection="1">
      <alignment vertical="top"/>
      <protection hidden="1"/>
    </xf>
    <xf numFmtId="0" fontId="7" fillId="0" borderId="0" xfId="0" applyFont="1" applyBorder="1" applyAlignment="1" applyProtection="1">
      <alignment wrapText="1"/>
      <protection hidden="1"/>
    </xf>
    <xf numFmtId="0" fontId="7" fillId="0" borderId="5" xfId="0" applyFont="1" applyBorder="1" applyAlignment="1" applyProtection="1">
      <alignment wrapText="1"/>
      <protection hidden="1"/>
    </xf>
    <xf numFmtId="0" fontId="7" fillId="0" borderId="0" xfId="0" applyFont="1" applyFill="1" applyBorder="1" applyAlignment="1" applyProtection="1">
      <alignment wrapText="1"/>
      <protection hidden="1"/>
    </xf>
    <xf numFmtId="0" fontId="7" fillId="0" borderId="0" xfId="0" applyFont="1" applyFill="1" applyAlignment="1" applyProtection="1">
      <alignment vertical="top"/>
      <protection hidden="1"/>
    </xf>
    <xf numFmtId="0" fontId="5" fillId="0" borderId="0" xfId="0" applyFont="1" applyAlignment="1" applyProtection="1">
      <alignment horizontal="left" vertical="center" wrapText="1"/>
      <protection hidden="1"/>
    </xf>
    <xf numFmtId="0" fontId="20" fillId="0" borderId="0" xfId="0" applyFont="1" applyAlignment="1">
      <alignment horizontal="left" vertical="center" wrapText="1"/>
    </xf>
    <xf numFmtId="166" fontId="18" fillId="0" borderId="0" xfId="0" applyNumberFormat="1" applyFont="1" applyBorder="1" applyAlignment="1" applyProtection="1">
      <alignment horizontal="center"/>
      <protection hidden="1"/>
    </xf>
    <xf numFmtId="0" fontId="7" fillId="0" borderId="1" xfId="0" applyFont="1" applyBorder="1" applyProtection="1">
      <protection hidden="1"/>
    </xf>
    <xf numFmtId="0" fontId="7" fillId="0" borderId="2" xfId="0" applyFont="1" applyBorder="1" applyProtection="1">
      <protection hidden="1"/>
    </xf>
    <xf numFmtId="0" fontId="7" fillId="0" borderId="2" xfId="0" applyFont="1" applyBorder="1" applyAlignment="1" applyProtection="1">
      <protection hidden="1"/>
    </xf>
    <xf numFmtId="0" fontId="18" fillId="0" borderId="2" xfId="0" applyFont="1" applyBorder="1" applyAlignment="1" applyProtection="1">
      <alignment wrapText="1"/>
      <protection hidden="1"/>
    </xf>
    <xf numFmtId="0" fontId="7" fillId="0" borderId="3" xfId="0" applyFont="1" applyBorder="1" applyProtection="1">
      <protection hidden="1"/>
    </xf>
    <xf numFmtId="0" fontId="18" fillId="0" borderId="4" xfId="0" applyFont="1" applyBorder="1" applyAlignment="1" applyProtection="1">
      <alignment horizontal="right" vertical="center"/>
      <protection hidden="1"/>
    </xf>
    <xf numFmtId="0" fontId="7" fillId="0" borderId="0" xfId="0" applyFont="1" applyBorder="1" applyAlignment="1" applyProtection="1">
      <alignment vertical="center"/>
      <protection hidden="1"/>
    </xf>
    <xf numFmtId="0" fontId="18" fillId="0" borderId="0" xfId="0" applyFont="1" applyBorder="1" applyAlignment="1" applyProtection="1">
      <alignment horizontal="center" vertical="center"/>
      <protection hidden="1"/>
    </xf>
    <xf numFmtId="164" fontId="7" fillId="0" borderId="0" xfId="0" applyNumberFormat="1" applyFont="1" applyBorder="1" applyAlignment="1" applyProtection="1">
      <alignment horizontal="center"/>
      <protection hidden="1"/>
    </xf>
    <xf numFmtId="0" fontId="7" fillId="0" borderId="6" xfId="0" applyFont="1" applyBorder="1" applyProtection="1">
      <protection hidden="1"/>
    </xf>
    <xf numFmtId="0" fontId="7" fillId="0" borderId="7" xfId="0" applyFont="1" applyBorder="1" applyProtection="1">
      <protection hidden="1"/>
    </xf>
    <xf numFmtId="0" fontId="7" fillId="0" borderId="8" xfId="0" applyFont="1" applyBorder="1" applyProtection="1">
      <protection hidden="1"/>
    </xf>
    <xf numFmtId="0" fontId="7" fillId="0" borderId="0" xfId="0" applyFont="1" applyFill="1" applyBorder="1" applyAlignment="1" applyProtection="1">
      <alignment horizontal="center"/>
      <protection hidden="1"/>
    </xf>
    <xf numFmtId="0" fontId="20" fillId="0" borderId="0" xfId="0" applyFont="1" applyAlignment="1">
      <alignment horizontal="left" vertical="center" wrapText="1"/>
    </xf>
    <xf numFmtId="0" fontId="8" fillId="0" borderId="0" xfId="0" applyFont="1" applyFill="1" applyProtection="1">
      <protection hidden="1"/>
    </xf>
    <xf numFmtId="0" fontId="20" fillId="0" borderId="0" xfId="0" applyFont="1" applyAlignment="1">
      <alignment vertical="center" wrapText="1"/>
    </xf>
    <xf numFmtId="0" fontId="19" fillId="0" borderId="0" xfId="0" applyFont="1" applyAlignment="1" applyProtection="1">
      <alignment horizontal="right" vertical="top" wrapText="1"/>
      <protection hidden="1"/>
    </xf>
    <xf numFmtId="0" fontId="18" fillId="0" borderId="0" xfId="0" applyFont="1" applyBorder="1" applyAlignment="1" applyProtection="1">
      <alignment horizontal="left"/>
      <protection hidden="1"/>
    </xf>
    <xf numFmtId="0" fontId="18" fillId="0" borderId="0" xfId="0" applyFont="1" applyBorder="1" applyAlignment="1" applyProtection="1">
      <protection hidden="1"/>
    </xf>
    <xf numFmtId="0" fontId="7" fillId="0" borderId="0" xfId="0" applyFont="1" applyAlignment="1" applyProtection="1">
      <alignment vertical="center"/>
      <protection hidden="1"/>
    </xf>
    <xf numFmtId="0" fontId="5" fillId="0" borderId="0" xfId="0" applyFont="1" applyBorder="1" applyAlignment="1" applyProtection="1">
      <alignment horizontal="center" vertical="center"/>
      <protection hidden="1"/>
    </xf>
    <xf numFmtId="0" fontId="0" fillId="0" borderId="0" xfId="0" applyBorder="1" applyAlignment="1">
      <alignment vertical="center"/>
    </xf>
    <xf numFmtId="0" fontId="4" fillId="0" borderId="0" xfId="0" applyFont="1" applyAlignment="1" applyProtection="1">
      <alignment horizontal="center" wrapText="1"/>
      <protection hidden="1"/>
    </xf>
    <xf numFmtId="0" fontId="18" fillId="0" borderId="0" xfId="0" applyFont="1" applyBorder="1" applyAlignment="1" applyProtection="1">
      <alignment horizontal="center"/>
      <protection hidden="1"/>
    </xf>
    <xf numFmtId="0" fontId="0" fillId="0" borderId="0" xfId="0" applyAlignment="1">
      <alignment wrapText="1"/>
    </xf>
    <xf numFmtId="0" fontId="24" fillId="0" borderId="9" xfId="0" applyFont="1" applyBorder="1" applyAlignment="1">
      <alignment horizontal="right" vertical="center" wrapText="1"/>
    </xf>
    <xf numFmtId="2" fontId="7" fillId="0" borderId="9" xfId="0" applyNumberFormat="1" applyFont="1" applyBorder="1" applyProtection="1">
      <protection hidden="1"/>
    </xf>
    <xf numFmtId="166" fontId="18" fillId="0" borderId="9" xfId="0" applyNumberFormat="1" applyFont="1" applyBorder="1" applyAlignment="1" applyProtection="1">
      <alignment horizontal="center"/>
      <protection hidden="1"/>
    </xf>
    <xf numFmtId="0" fontId="18" fillId="0" borderId="0" xfId="0" applyFont="1" applyBorder="1" applyAlignment="1" applyProtection="1">
      <alignment vertical="top"/>
      <protection hidden="1"/>
    </xf>
    <xf numFmtId="164" fontId="7" fillId="0" borderId="9" xfId="0" applyNumberFormat="1" applyFont="1" applyBorder="1" applyAlignment="1" applyProtection="1">
      <alignment horizontal="center"/>
      <protection hidden="1"/>
    </xf>
    <xf numFmtId="167" fontId="0" fillId="0" borderId="0" xfId="0" applyNumberFormat="1"/>
    <xf numFmtId="0" fontId="18" fillId="0" borderId="0" xfId="0" applyFont="1" applyFill="1" applyAlignment="1" applyProtection="1">
      <alignment horizontal="left"/>
      <protection hidden="1"/>
    </xf>
    <xf numFmtId="2" fontId="7" fillId="0" borderId="9" xfId="0" applyNumberFormat="1" applyFont="1" applyFill="1" applyBorder="1" applyAlignment="1" applyProtection="1">
      <alignment horizontal="center"/>
      <protection locked="0"/>
    </xf>
    <xf numFmtId="0" fontId="26" fillId="0" borderId="0" xfId="0" applyFont="1" applyAlignment="1" applyProtection="1">
      <alignment horizontal="right"/>
      <protection hidden="1"/>
    </xf>
    <xf numFmtId="0" fontId="3" fillId="0" borderId="0" xfId="0" applyFont="1" applyProtection="1">
      <protection hidden="1"/>
    </xf>
    <xf numFmtId="0" fontId="3" fillId="0" borderId="0" xfId="0" applyFont="1" applyAlignment="1" applyProtection="1">
      <protection hidden="1"/>
    </xf>
    <xf numFmtId="0" fontId="3" fillId="0" borderId="0" xfId="0" applyFont="1" applyAlignment="1" applyProtection="1">
      <alignment horizontal="right"/>
      <protection hidden="1"/>
    </xf>
    <xf numFmtId="166" fontId="3" fillId="3" borderId="0" xfId="0" applyNumberFormat="1" applyFont="1" applyFill="1" applyProtection="1">
      <protection hidden="1"/>
    </xf>
    <xf numFmtId="166" fontId="3" fillId="0" borderId="0" xfId="0" applyNumberFormat="1" applyFont="1" applyProtection="1">
      <protection hidden="1"/>
    </xf>
    <xf numFmtId="0" fontId="27" fillId="0" borderId="0" xfId="0" applyFont="1" applyFill="1" applyAlignment="1" applyProtection="1">
      <alignment horizontal="right"/>
      <protection hidden="1"/>
    </xf>
    <xf numFmtId="0" fontId="28" fillId="0" borderId="0" xfId="0" applyFont="1" applyFill="1" applyAlignment="1" applyProtection="1">
      <alignment horizontal="right"/>
      <protection hidden="1"/>
    </xf>
    <xf numFmtId="0" fontId="27" fillId="0" borderId="0" xfId="0" applyFont="1" applyAlignment="1" applyProtection="1">
      <alignment horizontal="right"/>
      <protection hidden="1"/>
    </xf>
    <xf numFmtId="0" fontId="3" fillId="0" borderId="0" xfId="0" applyFont="1" applyFill="1" applyAlignment="1" applyProtection="1">
      <alignment horizontal="right"/>
      <protection hidden="1"/>
    </xf>
    <xf numFmtId="0" fontId="7" fillId="0" borderId="13" xfId="0" applyFont="1" applyBorder="1" applyProtection="1">
      <protection hidden="1"/>
    </xf>
    <xf numFmtId="0" fontId="7" fillId="0" borderId="14" xfId="0" applyFont="1" applyBorder="1" applyProtection="1">
      <protection hidden="1"/>
    </xf>
    <xf numFmtId="0" fontId="30" fillId="0" borderId="0" xfId="0" applyFont="1" applyProtection="1">
      <protection hidden="1"/>
    </xf>
    <xf numFmtId="0" fontId="26" fillId="0" borderId="0" xfId="0" applyFont="1" applyAlignment="1" applyProtection="1">
      <protection hidden="1"/>
    </xf>
    <xf numFmtId="0" fontId="24" fillId="0" borderId="0" xfId="0" applyFont="1" applyAlignment="1">
      <alignment horizontal="right"/>
    </xf>
    <xf numFmtId="0" fontId="18" fillId="0" borderId="9" xfId="0" applyFont="1" applyBorder="1" applyAlignment="1" applyProtection="1">
      <alignment horizontal="center"/>
      <protection locked="0" hidden="1"/>
    </xf>
    <xf numFmtId="0" fontId="31" fillId="0" borderId="9" xfId="0" applyFont="1" applyBorder="1" applyAlignment="1" applyProtection="1">
      <alignment horizontal="center"/>
      <protection hidden="1"/>
    </xf>
    <xf numFmtId="0" fontId="31" fillId="0" borderId="9" xfId="0" applyFont="1" applyBorder="1" applyAlignment="1">
      <alignment horizontal="center"/>
    </xf>
    <xf numFmtId="0" fontId="3" fillId="0" borderId="9" xfId="0" applyFont="1" applyBorder="1" applyAlignment="1" applyProtection="1">
      <alignment horizontal="center"/>
      <protection locked="0" hidden="1"/>
    </xf>
    <xf numFmtId="0" fontId="7" fillId="0" borderId="0" xfId="0" applyFont="1" applyBorder="1" applyAlignment="1" applyProtection="1">
      <alignment horizontal="center" vertical="center"/>
      <protection hidden="1"/>
    </xf>
    <xf numFmtId="0" fontId="24" fillId="0" borderId="0" xfId="0" applyFont="1" applyBorder="1" applyAlignment="1">
      <alignment horizontal="right"/>
    </xf>
    <xf numFmtId="0" fontId="32" fillId="0" borderId="9" xfId="0" applyFont="1" applyBorder="1" applyProtection="1">
      <protection locked="0" hidden="1"/>
    </xf>
    <xf numFmtId="0" fontId="7" fillId="0" borderId="0" xfId="0" applyFont="1" applyBorder="1" applyAlignment="1" applyProtection="1">
      <alignment vertical="top"/>
      <protection hidden="1"/>
    </xf>
    <xf numFmtId="0" fontId="18" fillId="0" borderId="9" xfId="0" applyFont="1" applyBorder="1" applyAlignment="1" applyProtection="1">
      <alignment horizontal="center"/>
      <protection hidden="1"/>
    </xf>
    <xf numFmtId="166" fontId="3" fillId="0" borderId="0" xfId="0" applyNumberFormat="1" applyFont="1" applyAlignment="1" applyProtection="1">
      <protection hidden="1"/>
    </xf>
    <xf numFmtId="164" fontId="18" fillId="0" borderId="9" xfId="0" applyNumberFormat="1" applyFont="1" applyBorder="1" applyAlignment="1" applyProtection="1">
      <alignment horizontal="center"/>
      <protection hidden="1"/>
    </xf>
    <xf numFmtId="0" fontId="8" fillId="2" borderId="0" xfId="0" applyFont="1" applyFill="1" applyProtection="1">
      <protection hidden="1"/>
    </xf>
    <xf numFmtId="0" fontId="30" fillId="0" borderId="9" xfId="0" applyFont="1" applyBorder="1" applyAlignment="1" applyProtection="1">
      <alignment horizontal="right"/>
      <protection locked="0" hidden="1"/>
    </xf>
    <xf numFmtId="0" fontId="18" fillId="0" borderId="0" xfId="0" applyFont="1" applyBorder="1" applyAlignment="1" applyProtection="1">
      <alignment horizontal="center"/>
      <protection hidden="1"/>
    </xf>
    <xf numFmtId="0" fontId="18" fillId="0" borderId="4" xfId="0" applyFont="1" applyFill="1" applyBorder="1" applyAlignment="1" applyProtection="1">
      <alignment horizontal="right" vertical="center"/>
      <protection hidden="1"/>
    </xf>
    <xf numFmtId="0" fontId="7" fillId="0" borderId="0" xfId="0" applyFont="1" applyFill="1" applyBorder="1" applyAlignment="1" applyProtection="1">
      <alignment vertical="center"/>
      <protection hidden="1"/>
    </xf>
    <xf numFmtId="0" fontId="18" fillId="0" borderId="0" xfId="0" applyFont="1" applyFill="1" applyBorder="1" applyAlignment="1" applyProtection="1">
      <alignment horizontal="center" vertical="center"/>
      <protection hidden="1"/>
    </xf>
    <xf numFmtId="0" fontId="7" fillId="0" borderId="4" xfId="0" applyFont="1" applyFill="1" applyBorder="1" applyAlignment="1" applyProtection="1">
      <alignment horizontal="right"/>
      <protection hidden="1"/>
    </xf>
    <xf numFmtId="164" fontId="7" fillId="0" borderId="0" xfId="0" applyNumberFormat="1" applyFont="1" applyFill="1" applyBorder="1" applyAlignment="1" applyProtection="1">
      <alignment horizontal="center"/>
      <protection hidden="1"/>
    </xf>
    <xf numFmtId="0" fontId="7" fillId="0" borderId="0" xfId="0" applyFont="1" applyFill="1" applyBorder="1" applyProtection="1">
      <protection hidden="1"/>
    </xf>
    <xf numFmtId="1" fontId="7" fillId="0" borderId="0" xfId="0" applyNumberFormat="1" applyFont="1" applyAlignment="1" applyProtection="1">
      <alignment horizontal="center"/>
      <protection hidden="1"/>
    </xf>
    <xf numFmtId="0" fontId="7" fillId="0" borderId="0" xfId="0" applyFont="1" applyBorder="1" applyAlignment="1" applyProtection="1">
      <alignment horizontal="right" vertical="center" wrapText="1"/>
      <protection hidden="1"/>
    </xf>
    <xf numFmtId="0" fontId="24" fillId="0" borderId="0" xfId="0" applyFont="1" applyBorder="1" applyAlignment="1">
      <alignment horizontal="right" vertical="center" wrapText="1"/>
    </xf>
    <xf numFmtId="0" fontId="18" fillId="0" borderId="0" xfId="0" applyFont="1" applyBorder="1" applyAlignment="1" applyProtection="1">
      <alignment horizontal="left" vertical="center" wrapText="1"/>
      <protection hidden="1"/>
    </xf>
    <xf numFmtId="0" fontId="25" fillId="0" borderId="0" xfId="0" applyFont="1" applyBorder="1" applyAlignment="1">
      <alignment horizontal="left" vertical="center" wrapText="1"/>
    </xf>
    <xf numFmtId="0" fontId="0" fillId="0" borderId="0" xfId="0" applyBorder="1" applyAlignment="1">
      <alignment horizontal="left" vertical="center" wrapText="1"/>
    </xf>
    <xf numFmtId="0" fontId="30" fillId="0" borderId="0" xfId="0" applyFont="1" applyBorder="1" applyAlignment="1" applyProtection="1">
      <alignment horizontal="right"/>
      <protection locked="0" hidden="1"/>
    </xf>
    <xf numFmtId="164" fontId="18" fillId="0" borderId="0" xfId="0" applyNumberFormat="1" applyFont="1" applyBorder="1" applyAlignment="1" applyProtection="1">
      <alignment horizontal="center"/>
      <protection hidden="1"/>
    </xf>
    <xf numFmtId="0" fontId="0" fillId="0" borderId="0" xfId="0" applyFill="1" applyBorder="1" applyAlignment="1">
      <alignment vertical="center" wrapText="1"/>
    </xf>
    <xf numFmtId="0" fontId="0" fillId="0" borderId="0" xfId="0" applyBorder="1" applyAlignment="1">
      <alignment wrapText="1"/>
    </xf>
    <xf numFmtId="0" fontId="21" fillId="0" borderId="0" xfId="0" applyFont="1" applyBorder="1" applyAlignment="1">
      <alignment wrapText="1"/>
    </xf>
    <xf numFmtId="0" fontId="18" fillId="0" borderId="4" xfId="0" applyFont="1" applyBorder="1" applyAlignment="1" applyProtection="1">
      <alignment horizontal="right"/>
      <protection hidden="1"/>
    </xf>
    <xf numFmtId="0" fontId="7" fillId="0" borderId="4" xfId="0" applyFont="1" applyBorder="1" applyAlignment="1" applyProtection="1">
      <alignment horizontal="right"/>
      <protection hidden="1"/>
    </xf>
    <xf numFmtId="0" fontId="5" fillId="0" borderId="0" xfId="0" applyFont="1" applyAlignment="1" applyProtection="1">
      <alignment horizontal="right" vertical="center"/>
      <protection hidden="1"/>
    </xf>
    <xf numFmtId="0" fontId="3" fillId="0" borderId="9" xfId="0" applyFont="1" applyBorder="1" applyAlignment="1" applyProtection="1">
      <alignment horizontal="center"/>
      <protection locked="0"/>
    </xf>
    <xf numFmtId="0" fontId="3" fillId="3" borderId="9" xfId="0" applyFont="1" applyFill="1" applyBorder="1" applyAlignment="1" applyProtection="1">
      <alignment horizontal="center"/>
      <protection locked="0"/>
    </xf>
    <xf numFmtId="0" fontId="3" fillId="3" borderId="9" xfId="0" applyNumberFormat="1" applyFont="1" applyFill="1" applyBorder="1" applyAlignment="1" applyProtection="1">
      <alignment horizontal="center"/>
      <protection locked="0" hidden="1"/>
    </xf>
    <xf numFmtId="0" fontId="3" fillId="0" borderId="9" xfId="0" applyNumberFormat="1" applyFont="1" applyBorder="1" applyAlignment="1" applyProtection="1">
      <alignment horizontal="center"/>
      <protection locked="0" hidden="1"/>
    </xf>
    <xf numFmtId="0" fontId="18" fillId="0" borderId="0" xfId="0" applyFont="1" applyBorder="1" applyAlignment="1" applyProtection="1">
      <alignment horizontal="center"/>
      <protection hidden="1"/>
    </xf>
    <xf numFmtId="0" fontId="7" fillId="0" borderId="10" xfId="0" applyFont="1" applyBorder="1" applyAlignment="1" applyProtection="1">
      <alignment horizontal="left"/>
      <protection locked="0" hidden="1"/>
    </xf>
    <xf numFmtId="0" fontId="7" fillId="0" borderId="11" xfId="0" applyFont="1" applyBorder="1" applyAlignment="1" applyProtection="1">
      <alignment horizontal="left"/>
      <protection locked="0" hidden="1"/>
    </xf>
    <xf numFmtId="0" fontId="0" fillId="0" borderId="11" xfId="0" applyBorder="1" applyAlignment="1" applyProtection="1">
      <alignment horizontal="left"/>
      <protection locked="0" hidden="1"/>
    </xf>
    <xf numFmtId="0" fontId="0" fillId="0" borderId="12" xfId="0" applyBorder="1" applyAlignment="1" applyProtection="1">
      <alignment horizontal="left"/>
      <protection locked="0" hidden="1"/>
    </xf>
    <xf numFmtId="0" fontId="18" fillId="4" borderId="10" xfId="0" applyFont="1" applyFill="1" applyBorder="1" applyAlignment="1" applyProtection="1">
      <alignment vertical="center" wrapText="1"/>
      <protection hidden="1"/>
    </xf>
    <xf numFmtId="0" fontId="18" fillId="4" borderId="11"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protection hidden="1"/>
    </xf>
    <xf numFmtId="0" fontId="0" fillId="0" borderId="12" xfId="0" applyBorder="1" applyAlignment="1" applyProtection="1">
      <protection hidden="1"/>
    </xf>
    <xf numFmtId="0" fontId="18" fillId="0" borderId="0" xfId="0" applyFont="1" applyAlignment="1" applyProtection="1">
      <alignment horizontal="left"/>
      <protection hidden="1"/>
    </xf>
    <xf numFmtId="0" fontId="0" fillId="0" borderId="0" xfId="0" applyAlignment="1">
      <alignment horizontal="left"/>
    </xf>
    <xf numFmtId="0" fontId="18" fillId="2" borderId="10" xfId="0" applyFont="1" applyFill="1" applyBorder="1" applyAlignment="1" applyProtection="1">
      <alignment vertical="center" wrapText="1"/>
      <protection hidden="1"/>
    </xf>
    <xf numFmtId="0" fontId="18" fillId="2" borderId="11" xfId="0" applyFont="1" applyFill="1" applyBorder="1" applyAlignment="1" applyProtection="1">
      <alignment vertical="center" wrapText="1"/>
      <protection hidden="1"/>
    </xf>
    <xf numFmtId="0" fontId="20" fillId="2" borderId="11" xfId="0" applyFont="1" applyFill="1" applyBorder="1" applyAlignment="1">
      <alignment vertical="center" wrapText="1"/>
    </xf>
    <xf numFmtId="0" fontId="0" fillId="2" borderId="11" xfId="0" applyFill="1" applyBorder="1" applyAlignment="1"/>
    <xf numFmtId="0" fontId="0" fillId="0" borderId="11" xfId="0" applyBorder="1" applyAlignment="1"/>
    <xf numFmtId="0" fontId="0" fillId="0" borderId="12" xfId="0" applyBorder="1" applyAlignment="1"/>
    <xf numFmtId="0" fontId="18" fillId="0" borderId="0" xfId="0" applyFont="1" applyBorder="1" applyAlignment="1" applyProtection="1">
      <alignment vertical="top" wrapText="1"/>
      <protection hidden="1"/>
    </xf>
    <xf numFmtId="0" fontId="18" fillId="0" borderId="0" xfId="0" applyFont="1" applyAlignment="1" applyProtection="1">
      <alignment vertical="top" wrapText="1"/>
      <protection hidden="1"/>
    </xf>
    <xf numFmtId="0" fontId="0" fillId="0" borderId="0" xfId="0" applyAlignment="1">
      <alignment wrapText="1"/>
    </xf>
    <xf numFmtId="0" fontId="0" fillId="0" borderId="0" xfId="0" applyAlignment="1"/>
    <xf numFmtId="0" fontId="18" fillId="0" borderId="10" xfId="0" applyFont="1" applyBorder="1" applyAlignment="1" applyProtection="1">
      <alignment horizontal="left" vertical="center" wrapText="1"/>
      <protection hidden="1"/>
    </xf>
    <xf numFmtId="0" fontId="25"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5" fillId="0" borderId="0" xfId="0" applyFont="1" applyFill="1" applyBorder="1" applyAlignment="1" applyProtection="1">
      <alignment vertical="center" wrapText="1"/>
      <protection hidden="1"/>
    </xf>
    <xf numFmtId="0" fontId="20"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23" fillId="0" borderId="0" xfId="0" applyFont="1" applyFill="1" applyBorder="1" applyAlignment="1" applyProtection="1">
      <alignment horizontal="left" vertical="center" wrapText="1"/>
      <protection hidden="1"/>
    </xf>
    <xf numFmtId="0" fontId="22" fillId="0" borderId="0" xfId="0" applyFont="1" applyFill="1" applyBorder="1" applyAlignment="1">
      <alignment horizontal="left" vertical="center" wrapText="1"/>
    </xf>
    <xf numFmtId="0" fontId="0" fillId="0" borderId="0" xfId="0" applyBorder="1" applyAlignment="1">
      <alignment horizontal="left" vertical="center" wrapText="1"/>
    </xf>
    <xf numFmtId="0" fontId="5" fillId="0" borderId="0" xfId="0" applyFont="1" applyBorder="1" applyAlignment="1" applyProtection="1">
      <alignment horizontal="left" vertical="center" wrapText="1"/>
      <protection hidden="1"/>
    </xf>
    <xf numFmtId="0" fontId="23" fillId="0" borderId="0" xfId="0" applyFont="1" applyAlignment="1" applyProtection="1">
      <alignment horizontal="center" wrapText="1"/>
      <protection hidden="1"/>
    </xf>
    <xf numFmtId="0" fontId="29" fillId="0" borderId="0" xfId="0" applyFont="1" applyAlignment="1">
      <alignment horizontal="center"/>
    </xf>
    <xf numFmtId="0" fontId="7" fillId="0" borderId="0" xfId="0" applyFont="1" applyBorder="1" applyAlignment="1" applyProtection="1">
      <alignment vertical="top" wrapText="1"/>
      <protection hidden="1"/>
    </xf>
    <xf numFmtId="0" fontId="7" fillId="0" borderId="0" xfId="0" applyFont="1" applyBorder="1" applyAlignment="1">
      <alignment vertical="top" wrapText="1"/>
    </xf>
    <xf numFmtId="0" fontId="18" fillId="0" borderId="0" xfId="0" applyFont="1" applyBorder="1" applyAlignment="1" applyProtection="1">
      <alignment horizontal="center" vertical="top"/>
      <protection hidden="1"/>
    </xf>
    <xf numFmtId="0" fontId="18" fillId="0" borderId="0" xfId="0" applyFont="1" applyAlignment="1" applyProtection="1">
      <alignment horizontal="center" vertical="top"/>
      <protection hidden="1"/>
    </xf>
    <xf numFmtId="0" fontId="7" fillId="0" borderId="9" xfId="0" applyFont="1" applyBorder="1" applyAlignment="1" applyProtection="1">
      <alignment horizontal="right" vertical="center" wrapText="1"/>
      <protection hidden="1"/>
    </xf>
    <xf numFmtId="0" fontId="24" fillId="0" borderId="9" xfId="0" applyFont="1" applyBorder="1" applyAlignment="1">
      <alignment horizontal="right" vertical="center" wrapText="1"/>
    </xf>
    <xf numFmtId="0" fontId="7" fillId="0" borderId="4" xfId="0" applyFont="1" applyBorder="1" applyAlignment="1" applyProtection="1">
      <alignment horizontal="right"/>
      <protection hidden="1"/>
    </xf>
    <xf numFmtId="0" fontId="24" fillId="0" borderId="0" xfId="0" applyFont="1" applyAlignment="1">
      <alignment horizontal="right"/>
    </xf>
    <xf numFmtId="0" fontId="7" fillId="0" borderId="10" xfId="0" applyFont="1" applyBorder="1" applyAlignment="1" applyProtection="1">
      <alignment horizontal="left"/>
      <protection locked="0"/>
    </xf>
    <xf numFmtId="0" fontId="7" fillId="0" borderId="11" xfId="0" applyFont="1"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18" fillId="0" borderId="4" xfId="0" applyFont="1" applyBorder="1" applyAlignment="1" applyProtection="1">
      <alignment horizontal="right"/>
      <protection hidden="1"/>
    </xf>
    <xf numFmtId="0" fontId="0" fillId="0" borderId="0" xfId="0" applyAlignment="1">
      <alignment horizontal="right"/>
    </xf>
    <xf numFmtId="14" fontId="7" fillId="0" borderId="10" xfId="0" applyNumberFormat="1" applyFont="1" applyBorder="1" applyAlignment="1" applyProtection="1">
      <alignment horizontal="left"/>
      <protection locked="0" hidden="1"/>
    </xf>
    <xf numFmtId="14" fontId="7" fillId="0" borderId="11" xfId="0" applyNumberFormat="1" applyFont="1" applyBorder="1" applyAlignment="1" applyProtection="1">
      <alignment horizontal="left"/>
      <protection locked="0" hidden="1"/>
    </xf>
    <xf numFmtId="14" fontId="0" fillId="0" borderId="11" xfId="0" applyNumberFormat="1" applyBorder="1" applyAlignment="1" applyProtection="1">
      <alignment horizontal="left"/>
      <protection locked="0" hidden="1"/>
    </xf>
    <xf numFmtId="14" fontId="0" fillId="0" borderId="12" xfId="0" applyNumberFormat="1" applyBorder="1" applyAlignment="1" applyProtection="1">
      <alignment horizontal="left"/>
      <protection locked="0" hidden="1"/>
    </xf>
    <xf numFmtId="0" fontId="18" fillId="0" borderId="0" xfId="0" applyFont="1" applyFill="1" applyBorder="1" applyAlignment="1" applyProtection="1">
      <alignment vertical="center" wrapText="1"/>
      <protection hidden="1"/>
    </xf>
    <xf numFmtId="0" fontId="0" fillId="0" borderId="0" xfId="0" applyFill="1" applyAlignment="1"/>
    <xf numFmtId="0" fontId="18" fillId="0" borderId="9" xfId="0" applyFont="1" applyBorder="1" applyAlignment="1" applyProtection="1">
      <alignment horizontal="center"/>
      <protection hidden="1"/>
    </xf>
    <xf numFmtId="0" fontId="25" fillId="0" borderId="9" xfId="0" applyFont="1" applyBorder="1" applyAlignment="1">
      <alignment horizontal="center"/>
    </xf>
    <xf numFmtId="0" fontId="18" fillId="0" borderId="9" xfId="0" applyFont="1" applyBorder="1" applyAlignment="1" applyProtection="1">
      <alignment horizontal="center" wrapText="1"/>
      <protection hidden="1"/>
    </xf>
    <xf numFmtId="0" fontId="25" fillId="0" borderId="9" xfId="0" applyFont="1" applyBorder="1" applyAlignment="1">
      <alignment horizontal="center" wrapText="1"/>
    </xf>
    <xf numFmtId="165" fontId="7" fillId="0" borderId="0" xfId="0" applyNumberFormat="1" applyFont="1" applyBorder="1" applyAlignment="1" applyProtection="1">
      <alignment horizontal="left"/>
      <protection hidden="1"/>
    </xf>
    <xf numFmtId="0" fontId="0" fillId="0" borderId="0" xfId="0" applyBorder="1" applyAlignment="1">
      <alignment horizontal="left"/>
    </xf>
    <xf numFmtId="0" fontId="5" fillId="0" borderId="0" xfId="0" applyFont="1" applyBorder="1" applyAlignment="1" applyProtection="1">
      <alignment horizontal="left" vertical="top" wrapText="1"/>
      <protection hidden="1"/>
    </xf>
    <xf numFmtId="0" fontId="0" fillId="0" borderId="0" xfId="0" applyBorder="1" applyAlignment="1">
      <alignment horizontal="left" vertical="top" wrapText="1"/>
    </xf>
    <xf numFmtId="0" fontId="0" fillId="0" borderId="0" xfId="0" applyBorder="1" applyAlignment="1">
      <alignment wrapText="1"/>
    </xf>
    <xf numFmtId="0" fontId="0" fillId="0" borderId="5" xfId="0" applyBorder="1" applyAlignment="1">
      <alignment wrapText="1"/>
    </xf>
    <xf numFmtId="0" fontId="18" fillId="0" borderId="0" xfId="0" applyFont="1" applyBorder="1" applyAlignment="1" applyProtection="1">
      <alignment vertical="center" wrapText="1"/>
      <protection hidden="1"/>
    </xf>
    <xf numFmtId="0" fontId="14" fillId="0" borderId="0" xfId="0" applyFont="1"/>
    <xf numFmtId="0" fontId="3" fillId="0" borderId="0" xfId="0" applyFont="1"/>
  </cellXfs>
  <cellStyles count="2">
    <cellStyle name="Hyperlink" xfId="1" builtinId="8"/>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90</xdr:row>
      <xdr:rowOff>0</xdr:rowOff>
    </xdr:from>
    <xdr:to>
      <xdr:col>0</xdr:col>
      <xdr:colOff>1790700</xdr:colOff>
      <xdr:row>95</xdr:row>
      <xdr:rowOff>29389</xdr:rowOff>
    </xdr:to>
    <xdr:pic>
      <xdr:nvPicPr>
        <xdr:cNvPr id="7322" name="Afbeelding 2" descr="Logo BM 2009.jpg" hidden="1">
          <a:extLst>
            <a:ext uri="{FF2B5EF4-FFF2-40B4-BE49-F238E27FC236}">
              <a16:creationId xmlns:a16="http://schemas.microsoft.com/office/drawing/2014/main" id="{00000000-0008-0000-0000-00009A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8890000"/>
          <a:ext cx="1739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564844</xdr:colOff>
      <xdr:row>100</xdr:row>
      <xdr:rowOff>115955</xdr:rowOff>
    </xdr:from>
    <xdr:to>
      <xdr:col>27</xdr:col>
      <xdr:colOff>290196</xdr:colOff>
      <xdr:row>105</xdr:row>
      <xdr:rowOff>124729</xdr:rowOff>
    </xdr:to>
    <xdr:pic>
      <xdr:nvPicPr>
        <xdr:cNvPr id="5" name="Afbeelding 2" descr="Logo BM 2009.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2075" y="16186340"/>
          <a:ext cx="1895748" cy="75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9</xdr:col>
      <xdr:colOff>495300</xdr:colOff>
      <xdr:row>15</xdr:row>
      <xdr:rowOff>127000</xdr:rowOff>
    </xdr:to>
    <xdr:pic>
      <xdr:nvPicPr>
        <xdr:cNvPr id="2" name="Afbeelding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4700"/>
          <a:ext cx="82550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smilieuadvies.nl/" TargetMode="External"/><Relationship Id="rId1" Type="http://schemas.openxmlformats.org/officeDocument/2006/relationships/hyperlink" Target="mailto:info@bosmilieuadvies.n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etten.overheid.nl/jci1.3:c:BWBR0022929&amp;artikel=35&amp;g=2019-07-31&amp;z=2019-07-31" TargetMode="External"/><Relationship Id="rId1" Type="http://schemas.openxmlformats.org/officeDocument/2006/relationships/hyperlink" Target="https://wetten.overheid.nl/BWBR0023085/2018-1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H108"/>
  <sheetViews>
    <sheetView tabSelected="1" zoomScale="160" zoomScaleNormal="160" workbookViewId="0">
      <selection activeCell="C3" sqref="C3:J3"/>
    </sheetView>
  </sheetViews>
  <sheetFormatPr baseColWidth="10" defaultColWidth="9.1640625" defaultRowHeight="11" x14ac:dyDescent="0.15"/>
  <cols>
    <col min="1" max="1" width="53.6640625" style="17" customWidth="1"/>
    <col min="2" max="2" width="0.1640625" style="17" hidden="1" customWidth="1"/>
    <col min="3" max="3" width="6.1640625" style="41" customWidth="1"/>
    <col min="4" max="4" width="5.33203125" style="41" customWidth="1"/>
    <col min="5" max="5" width="4.83203125" style="41" customWidth="1"/>
    <col min="6" max="6" width="5" style="17" customWidth="1"/>
    <col min="7" max="7" width="4" style="17" bestFit="1" customWidth="1"/>
    <col min="8" max="8" width="4.83203125" style="17" customWidth="1"/>
    <col min="9" max="9" width="4.6640625" style="17" customWidth="1"/>
    <col min="10" max="10" width="9.5" style="17" customWidth="1"/>
    <col min="11" max="11" width="4.33203125" style="17" hidden="1" customWidth="1"/>
    <col min="12" max="12" width="10.6640625" style="17" bestFit="1" customWidth="1"/>
    <col min="13" max="13" width="6.5" style="17" customWidth="1"/>
    <col min="14" max="14" width="9.5" style="17" customWidth="1"/>
    <col min="15" max="15" width="3.6640625" style="17" hidden="1" customWidth="1"/>
    <col min="16" max="16" width="13.33203125" style="17" customWidth="1"/>
    <col min="17" max="17" width="3.6640625" style="17" hidden="1" customWidth="1"/>
    <col min="18" max="18" width="3.83203125" style="17" hidden="1" customWidth="1"/>
    <col min="19" max="19" width="1.83203125" style="17" hidden="1" customWidth="1"/>
    <col min="20" max="20" width="7.5" style="17" bestFit="1" customWidth="1"/>
    <col min="21" max="22" width="3.6640625" style="17" hidden="1" customWidth="1"/>
    <col min="23" max="23" width="10" style="17" customWidth="1"/>
    <col min="24" max="24" width="2.1640625" style="17" hidden="1" customWidth="1"/>
    <col min="25" max="25" width="11" style="17" customWidth="1"/>
    <col min="26" max="27" width="6.6640625" style="17" hidden="1" customWidth="1"/>
    <col min="28" max="28" width="9.83203125" style="17" bestFit="1" customWidth="1"/>
    <col min="29" max="29" width="6.6640625" style="17" hidden="1" customWidth="1"/>
    <col min="30" max="30" width="9.1640625" style="17" hidden="1" customWidth="1"/>
    <col min="31" max="31" width="11.83203125" style="17" hidden="1" customWidth="1"/>
    <col min="32" max="34" width="9.1640625" style="17" hidden="1" customWidth="1"/>
    <col min="35" max="37" width="9.1640625" style="17" customWidth="1"/>
    <col min="38" max="16384" width="9.1640625" style="17"/>
  </cols>
  <sheetData>
    <row r="1" spans="1:34" ht="13" x14ac:dyDescent="0.15">
      <c r="A1" s="151" t="s">
        <v>209</v>
      </c>
      <c r="B1" s="152"/>
      <c r="C1" s="152"/>
      <c r="D1" s="152"/>
      <c r="E1" s="72"/>
      <c r="F1" s="73"/>
      <c r="G1" s="73"/>
      <c r="H1" s="73"/>
      <c r="I1" s="73"/>
      <c r="J1" s="73"/>
      <c r="L1" s="73"/>
    </row>
    <row r="2" spans="1:34" x14ac:dyDescent="0.15">
      <c r="C2" s="17"/>
      <c r="D2" s="17"/>
      <c r="E2" s="17"/>
      <c r="M2" s="100" t="str">
        <f>IF(C10="lokaal","Onderstaand PFOS/PFOA/PFAS invullen omdat lokaal beleid afwijkt van landelijk beleid","")</f>
        <v/>
      </c>
      <c r="P2" s="21"/>
    </row>
    <row r="3" spans="1:34" ht="13" x14ac:dyDescent="0.15">
      <c r="A3" s="20" t="s">
        <v>11</v>
      </c>
      <c r="B3" s="21"/>
      <c r="C3" s="142"/>
      <c r="D3" s="143"/>
      <c r="E3" s="143"/>
      <c r="F3" s="144"/>
      <c r="G3" s="144"/>
      <c r="H3" s="144"/>
      <c r="I3" s="144"/>
      <c r="J3" s="145"/>
    </row>
    <row r="4" spans="1:34" ht="13" customHeight="1" x14ac:dyDescent="0.15">
      <c r="A4" s="20" t="s">
        <v>6</v>
      </c>
      <c r="B4" s="21"/>
      <c r="C4" s="142"/>
      <c r="D4" s="143"/>
      <c r="E4" s="143"/>
      <c r="F4" s="144"/>
      <c r="G4" s="144"/>
      <c r="H4" s="144"/>
      <c r="I4" s="144"/>
      <c r="J4" s="145"/>
      <c r="P4" s="28" t="str">
        <f>IF($C$10="lokaal","Bodemfunctieklasse","")</f>
        <v/>
      </c>
      <c r="T4" s="28" t="str">
        <f>IF($C$10="lokaal","PFOS","")</f>
        <v/>
      </c>
      <c r="U4" s="45"/>
      <c r="V4" s="45"/>
      <c r="W4" s="28" t="str">
        <f>IF($C$10="lokaal","PFOA","")</f>
        <v/>
      </c>
      <c r="X4" s="45"/>
      <c r="Y4" s="28" t="str">
        <f>IF($C$10="lokaal","PFAS","")</f>
        <v/>
      </c>
      <c r="Z4" s="28" t="str">
        <f>IF($C$10="lokaal","GenX","")</f>
        <v/>
      </c>
      <c r="AA4" s="28"/>
      <c r="AB4" s="28" t="str">
        <f>IF($C$10="lokaal","GenX","")</f>
        <v/>
      </c>
      <c r="AC4" s="28"/>
      <c r="AE4" s="45" t="s">
        <v>57</v>
      </c>
      <c r="AF4" s="45" t="s">
        <v>46</v>
      </c>
      <c r="AG4" s="45" t="s">
        <v>148</v>
      </c>
      <c r="AH4" s="45" t="s">
        <v>72</v>
      </c>
    </row>
    <row r="5" spans="1:34" ht="13" x14ac:dyDescent="0.15">
      <c r="A5" s="20" t="s">
        <v>13</v>
      </c>
      <c r="B5" s="21"/>
      <c r="C5" s="185" t="s">
        <v>212</v>
      </c>
      <c r="D5" s="186"/>
      <c r="E5" s="186"/>
      <c r="F5" s="187"/>
      <c r="G5" s="187"/>
      <c r="H5" s="187"/>
      <c r="I5" s="187"/>
      <c r="J5" s="188"/>
      <c r="P5" s="28" t="str">
        <f>IF($C$10="lokaal","Lokale waarden","")</f>
        <v/>
      </c>
      <c r="T5" s="115"/>
      <c r="U5" s="109"/>
      <c r="V5" s="109"/>
      <c r="W5" s="115"/>
      <c r="X5" s="109"/>
      <c r="Y5" s="115"/>
      <c r="AB5" s="115"/>
      <c r="AC5" s="129"/>
      <c r="AE5" s="103">
        <f>IF($C$10="lokaal",T5,C96)</f>
        <v>1.4</v>
      </c>
      <c r="AF5" s="103">
        <f>IF($C$10="lokaal",W5,D96)</f>
        <v>1.9</v>
      </c>
      <c r="AG5" s="103">
        <f>IF($C$10="lokaal",Y5,F96)</f>
        <v>1.4</v>
      </c>
      <c r="AH5" s="103">
        <f>IF($C$10="lokaal",AB5,E96)</f>
        <v>1.4</v>
      </c>
    </row>
    <row r="6" spans="1:34" ht="13" x14ac:dyDescent="0.15">
      <c r="A6" s="20" t="s">
        <v>150</v>
      </c>
      <c r="B6" s="21"/>
      <c r="C6" s="142"/>
      <c r="D6" s="143"/>
      <c r="E6" s="143"/>
      <c r="F6" s="144"/>
      <c r="G6" s="144"/>
      <c r="H6" s="144"/>
      <c r="I6" s="144"/>
      <c r="J6" s="145"/>
    </row>
    <row r="7" spans="1:34" ht="13" x14ac:dyDescent="0.15">
      <c r="A7" s="20" t="s">
        <v>151</v>
      </c>
      <c r="B7" s="21"/>
      <c r="C7" s="191"/>
      <c r="D7" s="192"/>
      <c r="E7" s="192"/>
      <c r="F7" s="193"/>
      <c r="G7" s="193"/>
      <c r="H7" s="193"/>
      <c r="I7" s="193"/>
      <c r="J7" s="194"/>
      <c r="K7" s="189" t="str">
        <f>A95</f>
        <v>Toepassing grond en baggerspecie op de bodem</v>
      </c>
      <c r="L7" s="190"/>
      <c r="M7" s="190"/>
      <c r="N7" s="190"/>
      <c r="O7" s="190"/>
      <c r="P7" s="190"/>
      <c r="T7" s="45" t="s">
        <v>57</v>
      </c>
      <c r="U7" s="45"/>
      <c r="V7" s="45"/>
      <c r="W7" s="45" t="s">
        <v>46</v>
      </c>
      <c r="X7" s="45"/>
      <c r="Y7" s="45" t="s">
        <v>148</v>
      </c>
      <c r="AB7" s="45" t="s">
        <v>72</v>
      </c>
      <c r="AC7" s="45"/>
    </row>
    <row r="8" spans="1:34" ht="13" x14ac:dyDescent="0.15">
      <c r="A8" s="20" t="s">
        <v>12</v>
      </c>
      <c r="B8" s="21"/>
      <c r="C8" s="191"/>
      <c r="D8" s="192"/>
      <c r="E8" s="192"/>
      <c r="F8" s="193"/>
      <c r="G8" s="193"/>
      <c r="H8" s="193"/>
      <c r="I8" s="193"/>
      <c r="J8" s="194"/>
      <c r="K8" s="183" t="str">
        <f>A96</f>
        <v>Landbouw / natuur</v>
      </c>
      <c r="L8" s="184"/>
      <c r="M8" s="184"/>
      <c r="N8" s="184"/>
      <c r="O8" s="184"/>
      <c r="P8" s="184"/>
      <c r="T8" s="111">
        <f>AE5</f>
        <v>1.4</v>
      </c>
      <c r="U8" s="111"/>
      <c r="V8" s="111"/>
      <c r="W8" s="111">
        <f>AF5</f>
        <v>1.9</v>
      </c>
      <c r="X8" s="111"/>
      <c r="Y8" s="111">
        <f>AG5</f>
        <v>1.4</v>
      </c>
      <c r="AB8" s="111">
        <f>AH5</f>
        <v>1.4</v>
      </c>
      <c r="AC8" s="116"/>
      <c r="AE8" s="55" t="s">
        <v>159</v>
      </c>
      <c r="AF8" s="59"/>
    </row>
    <row r="9" spans="1:34" ht="13" x14ac:dyDescent="0.15">
      <c r="A9" s="20" t="s">
        <v>4</v>
      </c>
      <c r="B9" s="21"/>
      <c r="C9" s="142"/>
      <c r="D9" s="143"/>
      <c r="E9" s="143"/>
      <c r="F9" s="144"/>
      <c r="G9" s="144"/>
      <c r="H9" s="144"/>
      <c r="I9" s="144"/>
      <c r="J9" s="145"/>
      <c r="K9" s="183" t="str">
        <f>A98</f>
        <v>Wonen / Industrie</v>
      </c>
      <c r="L9" s="184"/>
      <c r="M9" s="184"/>
      <c r="N9" s="184"/>
      <c r="O9" s="184"/>
      <c r="P9" s="184"/>
      <c r="T9" s="113">
        <f>C98</f>
        <v>3</v>
      </c>
      <c r="U9" s="113"/>
      <c r="V9" s="113"/>
      <c r="W9" s="113">
        <f>D98</f>
        <v>7</v>
      </c>
      <c r="X9" s="113"/>
      <c r="Y9" s="113">
        <f>F98</f>
        <v>3</v>
      </c>
      <c r="AB9" s="113">
        <f>E98</f>
        <v>3</v>
      </c>
      <c r="AC9" s="130"/>
      <c r="AE9" s="64" t="s">
        <v>160</v>
      </c>
      <c r="AF9" s="66">
        <v>2</v>
      </c>
    </row>
    <row r="10" spans="1:34" ht="13" x14ac:dyDescent="0.15">
      <c r="A10" s="20" t="s">
        <v>215</v>
      </c>
      <c r="B10" s="21"/>
      <c r="C10" s="142"/>
      <c r="D10" s="143"/>
      <c r="E10" s="143"/>
      <c r="F10" s="144"/>
      <c r="G10" s="144"/>
      <c r="H10" s="144"/>
      <c r="I10" s="144"/>
      <c r="J10" s="145"/>
      <c r="L10" s="102"/>
      <c r="M10" s="102"/>
      <c r="N10" s="108"/>
      <c r="O10" s="102"/>
      <c r="P10" s="13" t="str">
        <f>A99</f>
        <v>GBT en baggerspecie</v>
      </c>
      <c r="T10" s="113">
        <f>C99</f>
        <v>3</v>
      </c>
      <c r="U10" s="113"/>
      <c r="V10" s="113"/>
      <c r="W10" s="113">
        <f>D99</f>
        <v>7</v>
      </c>
      <c r="X10" s="113"/>
      <c r="Y10" s="113">
        <f>F99</f>
        <v>3</v>
      </c>
      <c r="AB10" s="113">
        <f>E99</f>
        <v>3</v>
      </c>
      <c r="AC10" s="130"/>
      <c r="AE10" s="55" t="s">
        <v>157</v>
      </c>
      <c r="AF10" s="98" t="s">
        <v>161</v>
      </c>
    </row>
    <row r="11" spans="1:34" ht="15" customHeight="1" x14ac:dyDescent="0.15">
      <c r="A11" s="20" t="s">
        <v>163</v>
      </c>
      <c r="B11" s="21"/>
      <c r="C11" s="142"/>
      <c r="D11" s="143"/>
      <c r="E11" s="143"/>
      <c r="F11" s="144"/>
      <c r="G11" s="144"/>
      <c r="H11" s="144"/>
      <c r="I11" s="144"/>
      <c r="J11" s="145"/>
      <c r="K11" s="43"/>
      <c r="L11" s="43"/>
      <c r="P11" s="13" t="str">
        <f>A103</f>
        <v>Vrij toepasbaar in oppervlaktewater</v>
      </c>
      <c r="T11" s="113">
        <f>C103</f>
        <v>1.1000000000000001</v>
      </c>
      <c r="W11" s="113">
        <f>D103</f>
        <v>0.8</v>
      </c>
      <c r="Y11" s="113">
        <f>F103</f>
        <v>0.8</v>
      </c>
      <c r="AB11" s="113">
        <f>E103</f>
        <v>0.8</v>
      </c>
      <c r="AC11" s="130"/>
      <c r="AE11" s="34" t="s">
        <v>158</v>
      </c>
      <c r="AF11" s="99" t="s">
        <v>8</v>
      </c>
    </row>
    <row r="12" spans="1:34" ht="13" x14ac:dyDescent="0.15">
      <c r="A12" s="20" t="s">
        <v>216</v>
      </c>
      <c r="B12" s="21"/>
      <c r="C12" s="142"/>
      <c r="D12" s="143"/>
      <c r="E12" s="143"/>
      <c r="F12" s="144"/>
      <c r="G12" s="144"/>
      <c r="H12" s="144"/>
      <c r="I12" s="144"/>
      <c r="J12" s="145"/>
      <c r="K12" s="43"/>
      <c r="L12" s="43"/>
      <c r="AE12" s="64">
        <v>1</v>
      </c>
      <c r="AF12" s="99" t="s">
        <v>9</v>
      </c>
    </row>
    <row r="13" spans="1:34" ht="13" x14ac:dyDescent="0.15">
      <c r="A13" s="20" t="s">
        <v>179</v>
      </c>
      <c r="B13" s="21"/>
      <c r="C13" s="142"/>
      <c r="D13" s="143"/>
      <c r="E13" s="143"/>
      <c r="F13" s="144"/>
      <c r="G13" s="144"/>
      <c r="H13" s="144"/>
      <c r="I13" s="144"/>
      <c r="J13" s="145"/>
      <c r="K13" s="43"/>
      <c r="L13" s="43"/>
      <c r="AE13" s="14"/>
      <c r="AF13" s="14"/>
    </row>
    <row r="14" spans="1:34" ht="21" customHeight="1" x14ac:dyDescent="0.15">
      <c r="A14" s="136" t="s">
        <v>200</v>
      </c>
      <c r="B14" s="21"/>
      <c r="C14" s="146" t="str">
        <f>IF(AA79&gt;=1,"Niet Toepasbaar","Toepasbaar")</f>
        <v>Toepasbaar</v>
      </c>
      <c r="D14" s="147"/>
      <c r="E14" s="147"/>
      <c r="F14" s="147"/>
      <c r="G14" s="147"/>
      <c r="H14" s="148"/>
      <c r="I14" s="149"/>
      <c r="J14" s="150"/>
      <c r="K14" s="43"/>
      <c r="L14" s="43"/>
    </row>
    <row r="15" spans="1:34" ht="21" customHeight="1" x14ac:dyDescent="0.15">
      <c r="A15" s="22" t="s">
        <v>208</v>
      </c>
      <c r="B15" s="48"/>
      <c r="C15" s="146" t="str">
        <f>IF(X79&gt;=1,"Niet Toepasbaar","Toepasbaar")</f>
        <v>Toepasbaar</v>
      </c>
      <c r="D15" s="147"/>
      <c r="E15" s="147"/>
      <c r="F15" s="147"/>
      <c r="G15" s="147"/>
      <c r="H15" s="148"/>
      <c r="I15" s="149"/>
      <c r="J15" s="150"/>
      <c r="K15" s="43"/>
      <c r="L15" s="43"/>
      <c r="AF15" s="14"/>
    </row>
    <row r="16" spans="1:34" ht="21" customHeight="1" x14ac:dyDescent="0.15">
      <c r="A16" s="22" t="s">
        <v>140</v>
      </c>
      <c r="B16" s="48"/>
      <c r="C16" s="153" t="str">
        <f>IF(AND(T16="",T17=""),"",IF(E80="Aw","Altijd toepasbaar",IF(E80="L/N","Altijd toepasbaar",IF(E80="W of I","Verhoogd PFOS, toepasbaar op bodem W of I tenzij LMV verhoogd is en bij GBT","Niet Toepasbaar tenzij LMW verhoogd is"))))</f>
        <v>Altijd toepasbaar</v>
      </c>
      <c r="D16" s="154"/>
      <c r="E16" s="154"/>
      <c r="F16" s="154"/>
      <c r="G16" s="154"/>
      <c r="H16" s="155"/>
      <c r="I16" s="156"/>
      <c r="J16" s="156"/>
      <c r="K16" s="157"/>
      <c r="L16" s="158"/>
      <c r="N16" s="181" t="s">
        <v>193</v>
      </c>
      <c r="O16" s="182"/>
      <c r="P16" s="182"/>
      <c r="Q16" s="74"/>
      <c r="R16" s="74"/>
      <c r="S16" s="74"/>
      <c r="T16" s="163" t="str">
        <f>IF(E82="Aw","Aw",IF(E82="L/N","Aw",IF(E82="W of I","Verhoogd PFOS","Niet Toepasbaar tenzij LMW verhoogd is")))</f>
        <v>Aw</v>
      </c>
      <c r="U16" s="164"/>
      <c r="V16" s="164"/>
      <c r="W16" s="164"/>
      <c r="X16" s="164"/>
      <c r="Y16" s="164"/>
      <c r="Z16" s="165"/>
      <c r="AA16" s="165"/>
      <c r="AB16" s="166"/>
      <c r="AC16" s="128"/>
    </row>
    <row r="17" spans="1:31" ht="21" customHeight="1" x14ac:dyDescent="0.15">
      <c r="A17" s="22" t="s">
        <v>141</v>
      </c>
      <c r="B17" s="49"/>
      <c r="C17" s="153" t="str">
        <f>IF(AND(T18="",T19=""),"",IF(E81="Aw","Altijd toepasbaar",IF(E81="L/N","Altijd toepasbaar",IF(E81="W of I","Verhoogd PFOA,  toepasbaar op bodem W of I tenzij LMV verhoogd is en bij GBT","Niet Toepasbaar tenzij LMW verhoogd is"))))</f>
        <v>Altijd toepasbaar</v>
      </c>
      <c r="D17" s="154"/>
      <c r="E17" s="154"/>
      <c r="F17" s="154"/>
      <c r="G17" s="154"/>
      <c r="H17" s="155"/>
      <c r="I17" s="156"/>
      <c r="J17" s="156"/>
      <c r="K17" s="157"/>
      <c r="L17" s="158"/>
      <c r="N17" s="181" t="s">
        <v>194</v>
      </c>
      <c r="O17" s="182"/>
      <c r="P17" s="182"/>
      <c r="Q17" s="74"/>
      <c r="R17" s="74"/>
      <c r="S17" s="74"/>
      <c r="T17" s="163" t="str">
        <f>IF(E83="Aw","Aw",IF(E83="L/N","Aw",IF(E83="W of I","Verhoogd PFOS","Niet Toepasbaar tenzij LMW verhoogd is")))</f>
        <v>Aw</v>
      </c>
      <c r="U17" s="164"/>
      <c r="V17" s="164"/>
      <c r="W17" s="164"/>
      <c r="X17" s="164"/>
      <c r="Y17" s="164"/>
      <c r="Z17" s="165"/>
      <c r="AA17" s="165"/>
      <c r="AB17" s="166"/>
      <c r="AC17" s="128"/>
    </row>
    <row r="18" spans="1:31" ht="21" customHeight="1" x14ac:dyDescent="0.15">
      <c r="A18" s="22" t="s">
        <v>125</v>
      </c>
      <c r="B18" s="49"/>
      <c r="C18" s="153" t="str">
        <f>IF(V79&lt;=36,"Altijd toepasbaar",IF(V79&lt;1000,"Altijd toepasbaar",IF(AND(V79&gt;=1000,V79&lt;100000),"Verhoogd PFAS,  toepasbaar op bodem W of I tenzij LMV verhoogd is en bij GBT","Niet Toepasbaar tenzij LMW verhoogd is")))</f>
        <v>Altijd toepasbaar</v>
      </c>
      <c r="D18" s="154"/>
      <c r="E18" s="154"/>
      <c r="F18" s="154"/>
      <c r="G18" s="154"/>
      <c r="H18" s="155"/>
      <c r="I18" s="156"/>
      <c r="J18" s="156"/>
      <c r="K18" s="157"/>
      <c r="L18" s="158"/>
      <c r="N18" s="181" t="s">
        <v>195</v>
      </c>
      <c r="O18" s="182"/>
      <c r="P18" s="182"/>
      <c r="Q18" s="74"/>
      <c r="R18" s="74"/>
      <c r="S18" s="74"/>
      <c r="T18" s="163" t="str">
        <f>IF(E84="Aw","Aw",IF(E84="L/N","Aw",IF(E84="W of I","Verhoogd PFOS","Niet Toepasbaar tenzij LMW verhoogd is")))</f>
        <v>Aw</v>
      </c>
      <c r="U18" s="164"/>
      <c r="V18" s="164"/>
      <c r="W18" s="164"/>
      <c r="X18" s="164"/>
      <c r="Y18" s="164"/>
      <c r="Z18" s="165"/>
      <c r="AA18" s="165"/>
      <c r="AB18" s="166"/>
      <c r="AC18" s="128"/>
    </row>
    <row r="19" spans="1:31" ht="21" customHeight="1" x14ac:dyDescent="0.15">
      <c r="A19" s="22" t="s">
        <v>124</v>
      </c>
      <c r="B19" s="49"/>
      <c r="C19" s="153" t="str">
        <f>IF(R77="-","Niet onderzocht",IF(T77="Aw","Altijd toepasbaar",IF(T77="L/N","Altijd toepasbaaar",IF(R77="W of I"," Verhoogd GenX,  toepasbaar op bodem W of I tenzij LMV verhoogd is en bij GBT","Niet Toepasbaar tenzij LMW verhoogd is"))))</f>
        <v>Niet onderzocht</v>
      </c>
      <c r="D19" s="154"/>
      <c r="E19" s="154"/>
      <c r="F19" s="154"/>
      <c r="G19" s="154"/>
      <c r="H19" s="155"/>
      <c r="I19" s="156"/>
      <c r="J19" s="156"/>
      <c r="K19" s="157"/>
      <c r="L19" s="158"/>
      <c r="N19" s="181" t="s">
        <v>196</v>
      </c>
      <c r="O19" s="182"/>
      <c r="P19" s="182"/>
      <c r="Q19" s="74"/>
      <c r="R19" s="74"/>
      <c r="S19" s="74"/>
      <c r="T19" s="163" t="str">
        <f>IF(E85="Aw","Aw",IF(E85="L/N","Aw",IF(E85="W of I","Verhoogd PFOS","Niet Toepasbaar tenzij LMW verhoogd is")))</f>
        <v>Aw</v>
      </c>
      <c r="U19" s="164"/>
      <c r="V19" s="164"/>
      <c r="W19" s="164"/>
      <c r="X19" s="164"/>
      <c r="Y19" s="164"/>
      <c r="Z19" s="165"/>
      <c r="AA19" s="165"/>
      <c r="AB19" s="166"/>
      <c r="AC19" s="128"/>
    </row>
    <row r="20" spans="1:31" ht="21" customHeight="1" x14ac:dyDescent="0.15">
      <c r="A20" s="22" t="s">
        <v>198</v>
      </c>
      <c r="B20" s="49"/>
      <c r="C20" s="153" t="str">
        <f>IF(AC79&gt;=1,"Niet Toepasbaar, tenzij de gebiedskwaliteit verhoogde waarden toestaat","Toepasbaar")</f>
        <v>Toepasbaar</v>
      </c>
      <c r="D20" s="154"/>
      <c r="E20" s="154"/>
      <c r="F20" s="154"/>
      <c r="G20" s="154"/>
      <c r="H20" s="155"/>
      <c r="I20" s="156"/>
      <c r="J20" s="156"/>
      <c r="K20" s="157"/>
      <c r="L20" s="158"/>
      <c r="N20" s="124"/>
      <c r="O20" s="125"/>
      <c r="P20" s="125"/>
      <c r="Q20" s="74"/>
      <c r="R20" s="74"/>
      <c r="S20" s="74"/>
      <c r="T20" s="126"/>
      <c r="U20" s="127"/>
      <c r="V20" s="127"/>
      <c r="W20" s="127"/>
      <c r="X20" s="127"/>
      <c r="Y20" s="127"/>
      <c r="Z20" s="128"/>
      <c r="AA20" s="128"/>
      <c r="AB20" s="128"/>
      <c r="AC20" s="128"/>
    </row>
    <row r="21" spans="1:31" ht="17.25" customHeight="1" x14ac:dyDescent="0.15">
      <c r="A21" s="22" t="s">
        <v>117</v>
      </c>
      <c r="B21" s="80"/>
      <c r="C21" s="46">
        <f>MAX(L35:L91)</f>
        <v>1</v>
      </c>
      <c r="D21" s="47"/>
      <c r="E21" s="47"/>
      <c r="F21" s="47"/>
      <c r="K21" s="70"/>
      <c r="L21" s="70"/>
      <c r="U21" s="47"/>
      <c r="V21" s="47"/>
      <c r="W21" s="47"/>
      <c r="X21" s="47"/>
      <c r="Y21" s="47"/>
      <c r="Z21" s="47"/>
      <c r="AA21" s="47"/>
      <c r="AB21" s="47"/>
      <c r="AC21" s="47"/>
    </row>
    <row r="22" spans="1:31" s="27" customFormat="1" ht="17.25" customHeight="1" x14ac:dyDescent="0.15">
      <c r="A22" s="24"/>
      <c r="B22" s="50"/>
      <c r="C22" s="23"/>
      <c r="D22" s="23"/>
      <c r="E22" s="23"/>
      <c r="F22" s="23"/>
      <c r="G22" s="23"/>
      <c r="H22" s="23"/>
      <c r="I22" s="25"/>
      <c r="J22" s="50"/>
      <c r="K22" s="50"/>
      <c r="L22" s="50"/>
      <c r="M22" s="50"/>
      <c r="N22" s="26"/>
      <c r="O22" s="51"/>
      <c r="P22" s="51"/>
      <c r="Q22" s="51"/>
      <c r="R22" s="51"/>
      <c r="S22" s="51"/>
      <c r="T22" s="51"/>
      <c r="U22" s="51"/>
      <c r="V22" s="51"/>
      <c r="W22" s="51"/>
      <c r="X22" s="51"/>
      <c r="Y22" s="51"/>
      <c r="Z22" s="51"/>
      <c r="AA22" s="51"/>
      <c r="AB22" s="51"/>
      <c r="AC22" s="51"/>
    </row>
    <row r="23" spans="1:31" ht="17" customHeight="1" x14ac:dyDescent="0.15">
      <c r="A23" s="71" t="s">
        <v>134</v>
      </c>
      <c r="B23" s="48"/>
      <c r="C23" s="167" t="s">
        <v>168</v>
      </c>
      <c r="D23" s="167"/>
      <c r="E23" s="167"/>
      <c r="F23" s="168"/>
      <c r="G23" s="168"/>
      <c r="H23" s="168"/>
      <c r="I23" s="168"/>
      <c r="J23" s="168"/>
      <c r="K23" s="168"/>
      <c r="L23" s="168"/>
      <c r="M23" s="168"/>
      <c r="N23" s="168"/>
      <c r="O23" s="168"/>
      <c r="P23" s="168"/>
      <c r="Q23" s="168"/>
      <c r="R23" s="168"/>
      <c r="S23" s="168"/>
      <c r="T23" s="168"/>
      <c r="U23" s="168"/>
      <c r="V23" s="168"/>
      <c r="W23" s="168"/>
      <c r="X23" s="168"/>
      <c r="Y23" s="168"/>
      <c r="Z23" s="169"/>
      <c r="AA23" s="170"/>
      <c r="AB23" s="170"/>
      <c r="AC23" s="131"/>
    </row>
    <row r="24" spans="1:31" ht="11" customHeight="1" x14ac:dyDescent="0.15">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9"/>
      <c r="AA24" s="170"/>
      <c r="AB24" s="170"/>
      <c r="AC24" s="131"/>
    </row>
    <row r="25" spans="1:31" ht="1" hidden="1" customHeight="1" x14ac:dyDescent="0.15">
      <c r="A25" s="71"/>
      <c r="C25" s="171"/>
      <c r="D25" s="171"/>
      <c r="E25" s="171"/>
      <c r="F25" s="172"/>
      <c r="G25" s="172"/>
      <c r="H25" s="172"/>
      <c r="I25" s="172"/>
      <c r="J25" s="172"/>
      <c r="K25" s="172"/>
      <c r="L25" s="172"/>
      <c r="M25" s="172"/>
      <c r="N25" s="172"/>
      <c r="O25" s="172"/>
      <c r="P25" s="172"/>
      <c r="Q25" s="172"/>
      <c r="R25" s="172"/>
      <c r="S25" s="172"/>
      <c r="T25" s="172"/>
      <c r="U25" s="172"/>
      <c r="V25" s="172"/>
      <c r="W25" s="172"/>
      <c r="X25" s="172"/>
      <c r="Y25" s="172"/>
      <c r="Z25" s="173"/>
      <c r="AA25" s="128"/>
      <c r="AB25" s="128"/>
      <c r="AC25" s="128"/>
    </row>
    <row r="26" spans="1:31" ht="39" customHeight="1" x14ac:dyDescent="0.15">
      <c r="A26" s="71"/>
      <c r="C26" s="171" t="s">
        <v>197</v>
      </c>
      <c r="D26" s="171"/>
      <c r="E26" s="171"/>
      <c r="F26" s="172"/>
      <c r="G26" s="172"/>
      <c r="H26" s="172"/>
      <c r="I26" s="172"/>
      <c r="J26" s="172"/>
      <c r="K26" s="172"/>
      <c r="L26" s="172"/>
      <c r="M26" s="172"/>
      <c r="N26" s="172"/>
      <c r="O26" s="172"/>
      <c r="P26" s="172"/>
      <c r="Q26" s="172"/>
      <c r="R26" s="172"/>
      <c r="S26" s="172"/>
      <c r="T26" s="172"/>
      <c r="U26" s="172"/>
      <c r="V26" s="172"/>
      <c r="W26" s="172"/>
      <c r="X26" s="172"/>
      <c r="Y26" s="172"/>
      <c r="Z26" s="173"/>
      <c r="AA26" s="173"/>
      <c r="AB26" s="173"/>
      <c r="AC26" s="128"/>
    </row>
    <row r="27" spans="1:31" ht="19" customHeight="1" x14ac:dyDescent="0.15">
      <c r="C27" s="174" t="s">
        <v>214</v>
      </c>
      <c r="D27" s="174"/>
      <c r="E27" s="174"/>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28"/>
    </row>
    <row r="28" spans="1:31" ht="14" x14ac:dyDescent="0.15">
      <c r="C28" s="52"/>
      <c r="D28" s="52"/>
      <c r="E28" s="52"/>
      <c r="F28" s="53"/>
      <c r="G28" s="53"/>
      <c r="H28" s="53"/>
      <c r="I28" s="53"/>
      <c r="J28" s="53"/>
      <c r="K28" s="53"/>
      <c r="L28" s="53"/>
      <c r="M28" s="53"/>
      <c r="N28" s="53"/>
      <c r="O28" s="53"/>
      <c r="P28" s="53"/>
      <c r="Q28" s="53"/>
      <c r="R28" s="53"/>
      <c r="S28" s="53"/>
      <c r="T28" s="53"/>
      <c r="U28" s="53"/>
      <c r="V28" s="68"/>
      <c r="W28" s="53"/>
      <c r="X28" s="53"/>
      <c r="Y28" s="53"/>
      <c r="Z28" s="68"/>
      <c r="AA28" s="68"/>
      <c r="AB28" s="68"/>
      <c r="AC28" s="68"/>
    </row>
    <row r="29" spans="1:31" x14ac:dyDescent="0.15">
      <c r="A29" s="28" t="s">
        <v>10</v>
      </c>
      <c r="B29" s="29"/>
      <c r="C29" s="141" t="s">
        <v>165</v>
      </c>
      <c r="D29" s="141"/>
      <c r="E29" s="141"/>
      <c r="F29" s="141"/>
      <c r="G29" s="78"/>
      <c r="H29" s="159" t="s">
        <v>156</v>
      </c>
      <c r="I29" s="177"/>
      <c r="J29" s="177"/>
      <c r="K29" s="14"/>
      <c r="L29" s="83" t="s">
        <v>116</v>
      </c>
      <c r="M29" s="14"/>
      <c r="N29" s="179" t="s">
        <v>69</v>
      </c>
      <c r="O29" s="179"/>
      <c r="P29" s="180"/>
      <c r="Q29" s="180"/>
      <c r="R29" s="180"/>
      <c r="S29" s="180"/>
      <c r="T29" s="180"/>
      <c r="U29" s="45"/>
      <c r="V29" s="45"/>
      <c r="W29" s="159" t="s">
        <v>180</v>
      </c>
      <c r="X29" s="30"/>
      <c r="Y29" s="159" t="s">
        <v>192</v>
      </c>
      <c r="AB29" s="159" t="s">
        <v>199</v>
      </c>
      <c r="AD29" s="86" t="s">
        <v>136</v>
      </c>
    </row>
    <row r="30" spans="1:31" x14ac:dyDescent="0.15">
      <c r="A30" s="21"/>
      <c r="C30" s="175" t="s">
        <v>133</v>
      </c>
      <c r="D30" s="175"/>
      <c r="E30" s="175"/>
      <c r="F30" s="176"/>
      <c r="G30" s="77"/>
      <c r="H30" s="178"/>
      <c r="I30" s="178"/>
      <c r="J30" s="178"/>
      <c r="K30" s="14"/>
      <c r="L30" s="14"/>
      <c r="M30" s="14"/>
      <c r="N30" s="13" t="s">
        <v>121</v>
      </c>
      <c r="O30" s="13"/>
      <c r="P30" s="14" t="s">
        <v>119</v>
      </c>
      <c r="Q30" s="14"/>
      <c r="R30" s="14"/>
      <c r="S30" s="14"/>
      <c r="T30" s="14"/>
      <c r="U30" s="14"/>
      <c r="V30" s="14"/>
      <c r="W30" s="160"/>
      <c r="X30" s="44"/>
      <c r="Y30" s="160"/>
      <c r="AB30" s="160"/>
      <c r="AD30" s="87">
        <f>IF($D$34&lt;2,2,IF($D$34&gt;=30,30,$D$34))</f>
        <v>2</v>
      </c>
      <c r="AE30" s="87">
        <f>IF($F$34&lt;2,2,IF($F$34&gt;=30,30,$F$34))</f>
        <v>2</v>
      </c>
    </row>
    <row r="31" spans="1:31" ht="13" x14ac:dyDescent="0.15">
      <c r="A31" s="32"/>
      <c r="B31" s="32"/>
      <c r="C31" s="141" t="s">
        <v>149</v>
      </c>
      <c r="D31" s="141"/>
      <c r="E31" s="141"/>
      <c r="F31" s="141"/>
      <c r="G31" s="79"/>
      <c r="H31" s="14"/>
      <c r="I31" s="14"/>
      <c r="J31" s="14"/>
      <c r="K31" s="14"/>
      <c r="L31" s="14"/>
      <c r="M31" s="14"/>
      <c r="N31" s="13" t="s">
        <v>122</v>
      </c>
      <c r="O31" s="13"/>
      <c r="P31" s="14" t="s">
        <v>137</v>
      </c>
      <c r="Q31" s="14"/>
      <c r="R31" s="14"/>
      <c r="S31" s="14"/>
      <c r="T31" s="14"/>
      <c r="U31" s="14"/>
      <c r="V31" s="14"/>
      <c r="W31" s="161"/>
      <c r="X31" s="14"/>
      <c r="Y31" s="161"/>
      <c r="AB31" s="161"/>
      <c r="AD31" s="31" t="s">
        <v>155</v>
      </c>
    </row>
    <row r="32" spans="1:31" ht="13" x14ac:dyDescent="0.15">
      <c r="A32" s="32"/>
      <c r="B32" s="32"/>
      <c r="C32" s="197">
        <v>1</v>
      </c>
      <c r="D32" s="198"/>
      <c r="E32" s="199">
        <v>2</v>
      </c>
      <c r="F32" s="200">
        <v>2</v>
      </c>
      <c r="G32" s="20"/>
      <c r="H32" s="75">
        <v>1</v>
      </c>
      <c r="I32" s="75">
        <v>2</v>
      </c>
      <c r="J32" s="107" t="s">
        <v>166</v>
      </c>
      <c r="K32" s="14"/>
      <c r="L32" s="14"/>
      <c r="M32" s="14"/>
      <c r="N32" s="13" t="s">
        <v>123</v>
      </c>
      <c r="O32" s="13"/>
      <c r="P32" s="14" t="s">
        <v>120</v>
      </c>
      <c r="Q32" s="14"/>
      <c r="R32" s="14"/>
      <c r="S32" s="14"/>
      <c r="T32" s="14"/>
      <c r="U32" s="14"/>
      <c r="V32" s="14"/>
      <c r="W32" s="14"/>
      <c r="X32" s="14"/>
      <c r="AB32" s="162"/>
      <c r="AD32" s="17">
        <v>1</v>
      </c>
      <c r="AE32" s="17">
        <v>2</v>
      </c>
    </row>
    <row r="33" spans="1:32" x14ac:dyDescent="0.15">
      <c r="A33" s="32"/>
      <c r="B33" s="32"/>
      <c r="C33" s="104"/>
      <c r="D33" s="105" t="s">
        <v>164</v>
      </c>
      <c r="E33" s="104"/>
      <c r="F33" s="105" t="s">
        <v>164</v>
      </c>
      <c r="G33" s="20"/>
      <c r="H33" s="75"/>
      <c r="I33" s="75"/>
      <c r="J33" s="14"/>
      <c r="K33" s="14"/>
      <c r="L33" s="14"/>
      <c r="M33" s="14"/>
      <c r="N33" s="13"/>
      <c r="O33" s="13"/>
      <c r="P33" s="14"/>
      <c r="Q33" s="14"/>
      <c r="R33" s="14"/>
      <c r="S33" s="14"/>
      <c r="T33" s="14"/>
      <c r="U33" s="14"/>
      <c r="V33" s="14"/>
      <c r="W33" s="14"/>
      <c r="X33" s="14"/>
    </row>
    <row r="34" spans="1:32" ht="12" x14ac:dyDescent="0.15">
      <c r="A34" s="97" t="s">
        <v>132</v>
      </c>
      <c r="B34" s="17" t="s">
        <v>5</v>
      </c>
      <c r="C34" s="106" t="s">
        <v>154</v>
      </c>
      <c r="D34" s="137">
        <v>0.1</v>
      </c>
      <c r="E34" s="106" t="str">
        <f>C34</f>
        <v>&lt;</v>
      </c>
      <c r="F34" s="137">
        <f>D34</f>
        <v>0.1</v>
      </c>
      <c r="G34" s="21"/>
      <c r="H34" s="81">
        <f>AD30</f>
        <v>2</v>
      </c>
      <c r="I34" s="81">
        <f>AE30</f>
        <v>2</v>
      </c>
      <c r="J34" s="82">
        <f t="shared" ref="J34:J77" si="0">AVERAGE(H34:I34)</f>
        <v>2</v>
      </c>
      <c r="N34" s="62" t="s">
        <v>57</v>
      </c>
      <c r="O34" s="62"/>
      <c r="P34" s="62" t="s">
        <v>46</v>
      </c>
      <c r="Q34" s="36"/>
      <c r="R34" s="36" t="s">
        <v>72</v>
      </c>
      <c r="S34" s="36"/>
      <c r="T34" s="36" t="s">
        <v>118</v>
      </c>
      <c r="AD34" s="17">
        <f>IF(C34="&lt;",0.7*D34,D34)</f>
        <v>6.9999999999999993E-2</v>
      </c>
      <c r="AE34" s="17">
        <f>IF(E34="&lt;",0.7*F34,F34)</f>
        <v>6.9999999999999993E-2</v>
      </c>
    </row>
    <row r="35" spans="1:32" ht="12" x14ac:dyDescent="0.15">
      <c r="A35" s="94" t="s">
        <v>14</v>
      </c>
      <c r="B35" s="69" t="s">
        <v>42</v>
      </c>
      <c r="C35" s="106" t="s">
        <v>154</v>
      </c>
      <c r="D35" s="137">
        <v>0.1</v>
      </c>
      <c r="E35" s="106" t="str">
        <f t="shared" ref="E35:E77" si="1">C35</f>
        <v>&lt;</v>
      </c>
      <c r="F35" s="106">
        <f t="shared" ref="F35:F77" si="2">D35</f>
        <v>0.1</v>
      </c>
      <c r="H35" s="81">
        <f>IF($AD$30&gt;=10,AD35*(10/$AD$30),AD35)</f>
        <v>6.9999999999999993E-2</v>
      </c>
      <c r="I35" s="81">
        <f>IF($AE$30&gt;=10,AE35*(10/$AE$30),AE35)</f>
        <v>6.9999999999999993E-2</v>
      </c>
      <c r="J35" s="82">
        <f t="shared" si="0"/>
        <v>6.9999999999999993E-2</v>
      </c>
      <c r="L35" s="84">
        <f t="shared" ref="L35:L77" si="3">IF(J35&lt;=0,0,(MAX(H35,I35)/MIN(H35,I35)))</f>
        <v>1</v>
      </c>
      <c r="N35" s="38"/>
      <c r="O35" s="39"/>
      <c r="P35" s="38"/>
      <c r="Q35" s="39">
        <f>IF(P35="W of I",1000,IF(P35="NT",100000,0))</f>
        <v>0</v>
      </c>
      <c r="R35" s="38"/>
      <c r="S35" s="39"/>
      <c r="T35" s="38" t="str">
        <f>IF(J35&lt;=$Y$11,"Aw",IF(J35&lt;=$Y$8,"L/N",IF(J35&lt;=$Y$9,"W of I",IF(J35&gt;$Y$10,"NT"))))</f>
        <v>Aw</v>
      </c>
      <c r="U35" s="39">
        <f>IF(T35="L/N",38,IF(T35="Aw",1,IF(T35="W of I",1500,IF(T35="NT",100000,0))))</f>
        <v>1</v>
      </c>
      <c r="V35" s="39">
        <f>IF(T35="L/N",38,IF(T35="Aw",1,IF(T35="W of I",1500,IF(T35="NT",100000,0))))</f>
        <v>1</v>
      </c>
      <c r="W35" s="38" t="str">
        <f t="shared" ref="W35:W52" si="4">IF(J35&gt;$F$103,"Niet Toepasbaar","Toepasbaar")</f>
        <v>Toepasbaar</v>
      </c>
      <c r="X35" s="39">
        <f>IF(W35="Niet Toepasbaar",1,0)</f>
        <v>0</v>
      </c>
      <c r="Y35" s="38" t="str">
        <f t="shared" ref="Y35:Y52" si="5">IF(J35&gt;$F$104,"Niet Toepasbaar","Toepasbaar")</f>
        <v>Toepasbaar</v>
      </c>
      <c r="AA35" s="39">
        <f t="shared" ref="AA35:AA77" si="6">IF(Y35="Niet Toepasbaar",1,0)</f>
        <v>0</v>
      </c>
      <c r="AB35" s="38" t="str">
        <f>IF(J35&gt;$F$101,"Niet Toepasbaar","Toepasbaar")</f>
        <v>Toepasbaar</v>
      </c>
      <c r="AC35" s="39">
        <f>IF(AB35="Niet Toepasbaar",1,0)</f>
        <v>0</v>
      </c>
      <c r="AD35" s="17">
        <f t="shared" ref="AD35:AD64" si="7">IF(C35="&lt;",0.7*D35,D35)</f>
        <v>6.9999999999999993E-2</v>
      </c>
      <c r="AE35" s="17">
        <f t="shared" ref="AE35:AE64" si="8">IF(E35="&lt;",0.7*F35,F35)</f>
        <v>6.9999999999999993E-2</v>
      </c>
    </row>
    <row r="36" spans="1:32" ht="12" x14ac:dyDescent="0.15">
      <c r="A36" s="94" t="s">
        <v>15</v>
      </c>
      <c r="B36" s="69" t="s">
        <v>43</v>
      </c>
      <c r="C36" s="106" t="s">
        <v>154</v>
      </c>
      <c r="D36" s="137">
        <v>0.1</v>
      </c>
      <c r="E36" s="106" t="str">
        <f t="shared" si="1"/>
        <v>&lt;</v>
      </c>
      <c r="F36" s="106">
        <f t="shared" si="2"/>
        <v>0.1</v>
      </c>
      <c r="G36" s="21"/>
      <c r="H36" s="81">
        <f t="shared" ref="H36:H77" si="9">IF($AD$30&gt;=10,AD36*(10/$AD$30),AD36)</f>
        <v>6.9999999999999993E-2</v>
      </c>
      <c r="I36" s="81">
        <f t="shared" ref="I36:I77" si="10">IF($AE$30&gt;=10,AE36*(10/$AE$30),AE36)</f>
        <v>6.9999999999999993E-2</v>
      </c>
      <c r="J36" s="82">
        <f t="shared" si="0"/>
        <v>6.9999999999999993E-2</v>
      </c>
      <c r="L36" s="84">
        <f t="shared" si="3"/>
        <v>1</v>
      </c>
      <c r="N36" s="38"/>
      <c r="O36" s="39"/>
      <c r="P36" s="38"/>
      <c r="Q36" s="39">
        <f>IF(P36="W of I",1000,IF(P36="NT",100000,0))</f>
        <v>0</v>
      </c>
      <c r="R36" s="38"/>
      <c r="S36" s="39"/>
      <c r="T36" s="38" t="str">
        <f t="shared" ref="T36:T38" si="11">IF(J36&lt;=$Y$11,"Aw",IF(J36&lt;=$Y$8,"L/N",IF(J36&lt;=$Y$9,"W of I",IF(J36&gt;$Y$10,"NT"))))</f>
        <v>Aw</v>
      </c>
      <c r="U36" s="39">
        <f t="shared" ref="U36:U76" si="12">IF(T36="L/N",38,IF(T36="Aw",1,IF(T36="W of I",1500,IF(T36="NT",100000,0))))</f>
        <v>1</v>
      </c>
      <c r="V36" s="39">
        <f t="shared" ref="V36:V76" si="13">IF(T36="L/N",38,IF(T36="Aw",1,IF(T36="W of I",1500,IF(T36="NT",100000,0))))</f>
        <v>1</v>
      </c>
      <c r="W36" s="38" t="str">
        <f t="shared" si="4"/>
        <v>Toepasbaar</v>
      </c>
      <c r="X36" s="39">
        <f>IF(W36="Niet Toepasbaar",1,0)</f>
        <v>0</v>
      </c>
      <c r="Y36" s="38" t="str">
        <f t="shared" si="5"/>
        <v>Toepasbaar</v>
      </c>
      <c r="AA36" s="39">
        <f t="shared" si="6"/>
        <v>0</v>
      </c>
      <c r="AB36" s="38" t="str">
        <f t="shared" ref="AB36:AB76" si="14">IF(J36&gt;$F$101,"Niet Toepasbaar","Toepasbaar")</f>
        <v>Toepasbaar</v>
      </c>
      <c r="AC36" s="39">
        <f t="shared" ref="AC36:AC76" si="15">IF(AB36="Niet Toepasbaar",1,0)</f>
        <v>0</v>
      </c>
      <c r="AD36" s="17">
        <f t="shared" si="7"/>
        <v>6.9999999999999993E-2</v>
      </c>
      <c r="AE36" s="17">
        <f t="shared" si="8"/>
        <v>6.9999999999999993E-2</v>
      </c>
    </row>
    <row r="37" spans="1:32" ht="12" x14ac:dyDescent="0.15">
      <c r="A37" s="94" t="s">
        <v>16</v>
      </c>
      <c r="B37" s="69" t="s">
        <v>44</v>
      </c>
      <c r="C37" s="106" t="s">
        <v>154</v>
      </c>
      <c r="D37" s="137">
        <v>0.1</v>
      </c>
      <c r="E37" s="106" t="str">
        <f t="shared" si="1"/>
        <v>&lt;</v>
      </c>
      <c r="F37" s="106">
        <f t="shared" si="2"/>
        <v>0.1</v>
      </c>
      <c r="G37" s="21"/>
      <c r="H37" s="81">
        <f t="shared" si="9"/>
        <v>6.9999999999999993E-2</v>
      </c>
      <c r="I37" s="81">
        <f t="shared" si="10"/>
        <v>6.9999999999999993E-2</v>
      </c>
      <c r="J37" s="82">
        <f t="shared" si="0"/>
        <v>6.9999999999999993E-2</v>
      </c>
      <c r="L37" s="84">
        <f t="shared" si="3"/>
        <v>1</v>
      </c>
      <c r="N37" s="38"/>
      <c r="O37" s="39"/>
      <c r="P37" s="38"/>
      <c r="Q37" s="39">
        <f t="shared" ref="Q37:Q64" si="16">IF(P37="W of I",1000,IF(P37="NT",100000,0))</f>
        <v>0</v>
      </c>
      <c r="R37" s="38"/>
      <c r="S37" s="39"/>
      <c r="T37" s="38" t="str">
        <f t="shared" si="11"/>
        <v>Aw</v>
      </c>
      <c r="U37" s="39">
        <f t="shared" si="12"/>
        <v>1</v>
      </c>
      <c r="V37" s="39">
        <f t="shared" si="13"/>
        <v>1</v>
      </c>
      <c r="W37" s="38" t="str">
        <f t="shared" si="4"/>
        <v>Toepasbaar</v>
      </c>
      <c r="X37" s="39">
        <f t="shared" ref="X37:X77" si="17">IF(W37="Niet Toepasbaar",1,0)</f>
        <v>0</v>
      </c>
      <c r="Y37" s="38" t="str">
        <f t="shared" si="5"/>
        <v>Toepasbaar</v>
      </c>
      <c r="AA37" s="39">
        <f t="shared" si="6"/>
        <v>0</v>
      </c>
      <c r="AB37" s="38" t="str">
        <f t="shared" si="14"/>
        <v>Toepasbaar</v>
      </c>
      <c r="AC37" s="39">
        <f t="shared" si="15"/>
        <v>0</v>
      </c>
      <c r="AD37" s="17">
        <f t="shared" si="7"/>
        <v>6.9999999999999993E-2</v>
      </c>
      <c r="AE37" s="17">
        <f t="shared" si="8"/>
        <v>6.9999999999999993E-2</v>
      </c>
    </row>
    <row r="38" spans="1:32" ht="12" x14ac:dyDescent="0.15">
      <c r="A38" s="94" t="s">
        <v>17</v>
      </c>
      <c r="B38" s="69" t="s">
        <v>45</v>
      </c>
      <c r="C38" s="106" t="s">
        <v>154</v>
      </c>
      <c r="D38" s="137">
        <v>0.1</v>
      </c>
      <c r="E38" s="106" t="str">
        <f t="shared" si="1"/>
        <v>&lt;</v>
      </c>
      <c r="F38" s="106">
        <f t="shared" si="2"/>
        <v>0.1</v>
      </c>
      <c r="G38" s="21"/>
      <c r="H38" s="81">
        <f t="shared" si="9"/>
        <v>6.9999999999999993E-2</v>
      </c>
      <c r="I38" s="81">
        <f t="shared" si="10"/>
        <v>6.9999999999999993E-2</v>
      </c>
      <c r="J38" s="82">
        <f t="shared" si="0"/>
        <v>6.9999999999999993E-2</v>
      </c>
      <c r="L38" s="84">
        <f t="shared" si="3"/>
        <v>1</v>
      </c>
      <c r="N38" s="38"/>
      <c r="O38" s="39"/>
      <c r="P38" s="38"/>
      <c r="Q38" s="39">
        <f t="shared" si="16"/>
        <v>0</v>
      </c>
      <c r="R38" s="38"/>
      <c r="S38" s="39"/>
      <c r="T38" s="38" t="str">
        <f t="shared" si="11"/>
        <v>Aw</v>
      </c>
      <c r="U38" s="39">
        <f t="shared" si="12"/>
        <v>1</v>
      </c>
      <c r="V38" s="39">
        <f t="shared" si="13"/>
        <v>1</v>
      </c>
      <c r="W38" s="38" t="str">
        <f t="shared" si="4"/>
        <v>Toepasbaar</v>
      </c>
      <c r="X38" s="39">
        <f t="shared" si="17"/>
        <v>0</v>
      </c>
      <c r="Y38" s="38" t="str">
        <f t="shared" si="5"/>
        <v>Toepasbaar</v>
      </c>
      <c r="AA38" s="39">
        <f t="shared" si="6"/>
        <v>0</v>
      </c>
      <c r="AB38" s="38" t="str">
        <f t="shared" si="14"/>
        <v>Toepasbaar</v>
      </c>
      <c r="AC38" s="39">
        <f t="shared" si="15"/>
        <v>0</v>
      </c>
      <c r="AD38" s="17">
        <f t="shared" si="7"/>
        <v>6.9999999999999993E-2</v>
      </c>
      <c r="AE38" s="17">
        <f t="shared" si="8"/>
        <v>6.9999999999999993E-2</v>
      </c>
    </row>
    <row r="39" spans="1:32" ht="12" x14ac:dyDescent="0.15">
      <c r="A39" s="95" t="s">
        <v>152</v>
      </c>
      <c r="B39" s="69" t="s">
        <v>176</v>
      </c>
      <c r="C39" s="106" t="s">
        <v>154</v>
      </c>
      <c r="D39" s="138">
        <v>0.1</v>
      </c>
      <c r="E39" s="106" t="str">
        <f t="shared" si="1"/>
        <v>&lt;</v>
      </c>
      <c r="F39" s="138">
        <f t="shared" si="2"/>
        <v>0.1</v>
      </c>
      <c r="G39" s="21"/>
      <c r="H39" s="81">
        <f t="shared" si="9"/>
        <v>6.9999999999999993E-2</v>
      </c>
      <c r="I39" s="81">
        <f t="shared" si="10"/>
        <v>6.9999999999999993E-2</v>
      </c>
      <c r="J39" s="82">
        <f t="shared" si="0"/>
        <v>6.9999999999999993E-2</v>
      </c>
      <c r="L39" s="84">
        <f t="shared" si="3"/>
        <v>1</v>
      </c>
      <c r="N39" s="38"/>
      <c r="O39" s="39">
        <f t="shared" ref="O39:O54" si="18">IF(N39="W of I",1000,IF(N39="NT",100000,0))</f>
        <v>0</v>
      </c>
      <c r="P39" s="38" t="str">
        <f>IF(J39&lt;=$W$8,"L/N",IF(J39&lt;=$W$9,"W of I",IF(J39&gt;$W$10,"NT")))</f>
        <v>L/N</v>
      </c>
      <c r="Q39" s="39">
        <f t="shared" si="16"/>
        <v>0</v>
      </c>
      <c r="R39" s="38"/>
      <c r="S39" s="39"/>
      <c r="T39" s="38"/>
      <c r="U39" s="39">
        <f t="shared" si="12"/>
        <v>0</v>
      </c>
      <c r="V39" s="39">
        <f t="shared" si="13"/>
        <v>0</v>
      </c>
      <c r="W39" s="38" t="str">
        <f t="shared" si="4"/>
        <v>Toepasbaar</v>
      </c>
      <c r="X39" s="39">
        <f t="shared" si="17"/>
        <v>0</v>
      </c>
      <c r="Y39" s="38" t="str">
        <f t="shared" si="5"/>
        <v>Toepasbaar</v>
      </c>
      <c r="AA39" s="39">
        <f t="shared" si="6"/>
        <v>0</v>
      </c>
      <c r="AB39" s="38" t="str">
        <f t="shared" si="14"/>
        <v>Toepasbaar</v>
      </c>
      <c r="AC39" s="39">
        <f t="shared" si="15"/>
        <v>0</v>
      </c>
      <c r="AD39" s="17">
        <f t="shared" si="7"/>
        <v>6.9999999999999993E-2</v>
      </c>
      <c r="AE39" s="17">
        <f t="shared" si="8"/>
        <v>6.9999999999999993E-2</v>
      </c>
    </row>
    <row r="40" spans="1:32" ht="12" x14ac:dyDescent="0.15">
      <c r="A40" s="95" t="s">
        <v>41</v>
      </c>
      <c r="B40" s="69" t="s">
        <v>41</v>
      </c>
      <c r="C40" s="106" t="s">
        <v>154</v>
      </c>
      <c r="D40" s="138">
        <v>0.1</v>
      </c>
      <c r="E40" s="106" t="str">
        <f t="shared" si="1"/>
        <v>&lt;</v>
      </c>
      <c r="F40" s="138">
        <f t="shared" si="2"/>
        <v>0.1</v>
      </c>
      <c r="G40" s="21"/>
      <c r="H40" s="81">
        <f t="shared" si="9"/>
        <v>6.9999999999999993E-2</v>
      </c>
      <c r="I40" s="81">
        <f t="shared" si="10"/>
        <v>6.9999999999999993E-2</v>
      </c>
      <c r="J40" s="82">
        <f t="shared" si="0"/>
        <v>6.9999999999999993E-2</v>
      </c>
      <c r="L40" s="84">
        <f t="shared" si="3"/>
        <v>1</v>
      </c>
      <c r="N40" s="38"/>
      <c r="O40" s="39">
        <f t="shared" si="18"/>
        <v>0</v>
      </c>
      <c r="P40" s="38" t="str">
        <f>IF(J40&lt;=$W$8,"L/N",IF(J40&lt;=$W$9,"W of I",IF(J40&gt;$W$10,"NT")))</f>
        <v>L/N</v>
      </c>
      <c r="Q40" s="39">
        <f t="shared" si="16"/>
        <v>0</v>
      </c>
      <c r="R40" s="38"/>
      <c r="S40" s="39"/>
      <c r="T40" s="38"/>
      <c r="U40" s="39">
        <f t="shared" si="12"/>
        <v>0</v>
      </c>
      <c r="V40" s="39">
        <f t="shared" si="13"/>
        <v>0</v>
      </c>
      <c r="W40" s="38" t="str">
        <f t="shared" si="4"/>
        <v>Toepasbaar</v>
      </c>
      <c r="X40" s="39">
        <f>IF(W40="Niet Toepasbaar",1,0)</f>
        <v>0</v>
      </c>
      <c r="Y40" s="38" t="str">
        <f t="shared" si="5"/>
        <v>Toepasbaar</v>
      </c>
      <c r="AA40" s="39">
        <f t="shared" si="6"/>
        <v>0</v>
      </c>
      <c r="AB40" s="38" t="str">
        <f t="shared" si="14"/>
        <v>Toepasbaar</v>
      </c>
      <c r="AC40" s="39">
        <f t="shared" si="15"/>
        <v>0</v>
      </c>
      <c r="AD40" s="17">
        <f t="shared" si="7"/>
        <v>6.9999999999999993E-2</v>
      </c>
      <c r="AE40" s="17">
        <f t="shared" si="8"/>
        <v>6.9999999999999993E-2</v>
      </c>
    </row>
    <row r="41" spans="1:32" ht="12" x14ac:dyDescent="0.15">
      <c r="A41" s="94" t="s">
        <v>18</v>
      </c>
      <c r="B41" s="69" t="s">
        <v>47</v>
      </c>
      <c r="C41" s="106" t="s">
        <v>154</v>
      </c>
      <c r="D41" s="137">
        <v>0.1</v>
      </c>
      <c r="E41" s="106" t="str">
        <f t="shared" si="1"/>
        <v>&lt;</v>
      </c>
      <c r="F41" s="106">
        <f t="shared" si="2"/>
        <v>0.1</v>
      </c>
      <c r="G41" s="21"/>
      <c r="H41" s="81">
        <f t="shared" si="9"/>
        <v>6.9999999999999993E-2</v>
      </c>
      <c r="I41" s="81">
        <f t="shared" si="10"/>
        <v>6.9999999999999993E-2</v>
      </c>
      <c r="J41" s="82">
        <f t="shared" si="0"/>
        <v>6.9999999999999993E-2</v>
      </c>
      <c r="L41" s="84">
        <f t="shared" si="3"/>
        <v>1</v>
      </c>
      <c r="N41" s="38"/>
      <c r="O41" s="39"/>
      <c r="P41" s="38"/>
      <c r="Q41" s="39">
        <f t="shared" si="16"/>
        <v>0</v>
      </c>
      <c r="R41" s="38"/>
      <c r="S41" s="39"/>
      <c r="T41" s="38" t="str">
        <f>IF(J41&lt;=$Y$11,"Aw",IF(J41&lt;=$Y$8,"L/N",IF(J41&lt;=$Y$9,"W of I",IF(J41&gt;$Y$10,"NT"))))</f>
        <v>Aw</v>
      </c>
      <c r="U41" s="39">
        <f t="shared" si="12"/>
        <v>1</v>
      </c>
      <c r="V41" s="39">
        <f t="shared" si="13"/>
        <v>1</v>
      </c>
      <c r="W41" s="38" t="str">
        <f t="shared" si="4"/>
        <v>Toepasbaar</v>
      </c>
      <c r="X41" s="39">
        <f t="shared" si="17"/>
        <v>0</v>
      </c>
      <c r="Y41" s="38" t="str">
        <f t="shared" si="5"/>
        <v>Toepasbaar</v>
      </c>
      <c r="AA41" s="39">
        <f t="shared" si="6"/>
        <v>0</v>
      </c>
      <c r="AB41" s="38" t="str">
        <f t="shared" si="14"/>
        <v>Toepasbaar</v>
      </c>
      <c r="AC41" s="39">
        <f t="shared" si="15"/>
        <v>0</v>
      </c>
      <c r="AD41" s="17">
        <f t="shared" si="7"/>
        <v>6.9999999999999993E-2</v>
      </c>
      <c r="AE41" s="17">
        <f t="shared" si="8"/>
        <v>6.9999999999999993E-2</v>
      </c>
    </row>
    <row r="42" spans="1:32" ht="12" x14ac:dyDescent="0.15">
      <c r="A42" s="94" t="s">
        <v>19</v>
      </c>
      <c r="B42" s="69" t="s">
        <v>177</v>
      </c>
      <c r="C42" s="106" t="s">
        <v>154</v>
      </c>
      <c r="D42" s="137">
        <v>0.1</v>
      </c>
      <c r="E42" s="106" t="str">
        <f t="shared" si="1"/>
        <v>&lt;</v>
      </c>
      <c r="F42" s="106">
        <f t="shared" si="2"/>
        <v>0.1</v>
      </c>
      <c r="G42" s="21"/>
      <c r="H42" s="81">
        <f t="shared" si="9"/>
        <v>6.9999999999999993E-2</v>
      </c>
      <c r="I42" s="81">
        <f t="shared" si="10"/>
        <v>6.9999999999999993E-2</v>
      </c>
      <c r="J42" s="82">
        <f t="shared" si="0"/>
        <v>6.9999999999999993E-2</v>
      </c>
      <c r="L42" s="84">
        <f t="shared" si="3"/>
        <v>1</v>
      </c>
      <c r="N42" s="38"/>
      <c r="O42" s="39"/>
      <c r="P42" s="38"/>
      <c r="Q42" s="39">
        <f t="shared" si="16"/>
        <v>0</v>
      </c>
      <c r="R42" s="38"/>
      <c r="S42" s="39"/>
      <c r="T42" s="38" t="str">
        <f t="shared" ref="T42:T52" si="19">IF(J42&lt;=$Y$11,"Aw",IF(J42&lt;=$Y$8,"L/N",IF(J42&lt;=$Y$9,"W of I",IF(J42&gt;$Y$10,"NT"))))</f>
        <v>Aw</v>
      </c>
      <c r="U42" s="39">
        <f t="shared" si="12"/>
        <v>1</v>
      </c>
      <c r="V42" s="39">
        <f t="shared" si="13"/>
        <v>1</v>
      </c>
      <c r="W42" s="38" t="str">
        <f t="shared" si="4"/>
        <v>Toepasbaar</v>
      </c>
      <c r="X42" s="39">
        <f t="shared" si="17"/>
        <v>0</v>
      </c>
      <c r="Y42" s="38" t="str">
        <f t="shared" si="5"/>
        <v>Toepasbaar</v>
      </c>
      <c r="AA42" s="39">
        <f t="shared" si="6"/>
        <v>0</v>
      </c>
      <c r="AB42" s="38" t="str">
        <f t="shared" si="14"/>
        <v>Toepasbaar</v>
      </c>
      <c r="AC42" s="39">
        <f t="shared" si="15"/>
        <v>0</v>
      </c>
      <c r="AD42" s="17">
        <f t="shared" si="7"/>
        <v>6.9999999999999993E-2</v>
      </c>
      <c r="AE42" s="17">
        <f t="shared" si="8"/>
        <v>6.9999999999999993E-2</v>
      </c>
    </row>
    <row r="43" spans="1:32" ht="13" x14ac:dyDescent="0.15">
      <c r="A43" s="94" t="s">
        <v>20</v>
      </c>
      <c r="B43" s="69" t="s">
        <v>48</v>
      </c>
      <c r="C43" s="106" t="s">
        <v>154</v>
      </c>
      <c r="D43" s="137">
        <v>0.1</v>
      </c>
      <c r="E43" s="106" t="str">
        <f t="shared" si="1"/>
        <v>&lt;</v>
      </c>
      <c r="F43" s="106">
        <f t="shared" si="2"/>
        <v>0.1</v>
      </c>
      <c r="G43" s="21"/>
      <c r="H43" s="81">
        <f t="shared" si="9"/>
        <v>6.9999999999999993E-2</v>
      </c>
      <c r="I43" s="81">
        <f t="shared" si="10"/>
        <v>6.9999999999999993E-2</v>
      </c>
      <c r="J43" s="82">
        <f t="shared" si="0"/>
        <v>6.9999999999999993E-2</v>
      </c>
      <c r="L43" s="84">
        <f t="shared" si="3"/>
        <v>1</v>
      </c>
      <c r="N43" s="38"/>
      <c r="O43" s="39"/>
      <c r="P43" s="38"/>
      <c r="Q43" s="39">
        <f t="shared" si="16"/>
        <v>0</v>
      </c>
      <c r="R43" s="38"/>
      <c r="S43" s="39"/>
      <c r="T43" s="38" t="str">
        <f t="shared" si="19"/>
        <v>Aw</v>
      </c>
      <c r="U43" s="39">
        <f t="shared" si="12"/>
        <v>1</v>
      </c>
      <c r="V43" s="39">
        <f t="shared" si="13"/>
        <v>1</v>
      </c>
      <c r="W43" s="38" t="str">
        <f t="shared" si="4"/>
        <v>Toepasbaar</v>
      </c>
      <c r="X43" s="39">
        <f t="shared" si="17"/>
        <v>0</v>
      </c>
      <c r="Y43" s="38" t="str">
        <f t="shared" si="5"/>
        <v>Toepasbaar</v>
      </c>
      <c r="AA43" s="39">
        <f t="shared" si="6"/>
        <v>0</v>
      </c>
      <c r="AB43" s="38" t="str">
        <f t="shared" si="14"/>
        <v>Toepasbaar</v>
      </c>
      <c r="AC43" s="39">
        <f t="shared" si="15"/>
        <v>0</v>
      </c>
      <c r="AD43" s="17">
        <f t="shared" si="7"/>
        <v>6.9999999999999993E-2</v>
      </c>
      <c r="AE43" s="17">
        <f t="shared" si="8"/>
        <v>6.9999999999999993E-2</v>
      </c>
      <c r="AF43" s="85"/>
    </row>
    <row r="44" spans="1:32" ht="12" x14ac:dyDescent="0.15">
      <c r="A44" s="94" t="s">
        <v>21</v>
      </c>
      <c r="B44" s="69" t="s">
        <v>174</v>
      </c>
      <c r="C44" s="106" t="s">
        <v>154</v>
      </c>
      <c r="D44" s="137">
        <v>0.1</v>
      </c>
      <c r="E44" s="106" t="str">
        <f t="shared" si="1"/>
        <v>&lt;</v>
      </c>
      <c r="F44" s="106">
        <f t="shared" si="2"/>
        <v>0.1</v>
      </c>
      <c r="G44" s="21"/>
      <c r="H44" s="81">
        <f t="shared" si="9"/>
        <v>6.9999999999999993E-2</v>
      </c>
      <c r="I44" s="81">
        <f t="shared" si="10"/>
        <v>6.9999999999999993E-2</v>
      </c>
      <c r="J44" s="82">
        <f t="shared" si="0"/>
        <v>6.9999999999999993E-2</v>
      </c>
      <c r="L44" s="84">
        <f t="shared" si="3"/>
        <v>1</v>
      </c>
      <c r="N44" s="38"/>
      <c r="O44" s="39"/>
      <c r="P44" s="38"/>
      <c r="Q44" s="39">
        <f t="shared" si="16"/>
        <v>0</v>
      </c>
      <c r="R44" s="38"/>
      <c r="S44" s="39"/>
      <c r="T44" s="38" t="str">
        <f t="shared" si="19"/>
        <v>Aw</v>
      </c>
      <c r="U44" s="39">
        <f t="shared" si="12"/>
        <v>1</v>
      </c>
      <c r="V44" s="39">
        <f t="shared" si="13"/>
        <v>1</v>
      </c>
      <c r="W44" s="38" t="str">
        <f t="shared" si="4"/>
        <v>Toepasbaar</v>
      </c>
      <c r="X44" s="39">
        <f t="shared" si="17"/>
        <v>0</v>
      </c>
      <c r="Y44" s="38" t="str">
        <f t="shared" si="5"/>
        <v>Toepasbaar</v>
      </c>
      <c r="AA44" s="39">
        <f t="shared" si="6"/>
        <v>0</v>
      </c>
      <c r="AB44" s="38" t="str">
        <f t="shared" si="14"/>
        <v>Toepasbaar</v>
      </c>
      <c r="AC44" s="39">
        <f t="shared" si="15"/>
        <v>0</v>
      </c>
      <c r="AD44" s="17">
        <f t="shared" si="7"/>
        <v>6.9999999999999993E-2</v>
      </c>
      <c r="AE44" s="17">
        <f t="shared" si="8"/>
        <v>6.9999999999999993E-2</v>
      </c>
    </row>
    <row r="45" spans="1:32" ht="12" x14ac:dyDescent="0.15">
      <c r="A45" s="94" t="s">
        <v>22</v>
      </c>
      <c r="B45" s="69" t="s">
        <v>49</v>
      </c>
      <c r="C45" s="106" t="s">
        <v>154</v>
      </c>
      <c r="D45" s="137">
        <v>0.1</v>
      </c>
      <c r="E45" s="106" t="str">
        <f t="shared" si="1"/>
        <v>&lt;</v>
      </c>
      <c r="F45" s="106">
        <f t="shared" si="2"/>
        <v>0.1</v>
      </c>
      <c r="G45" s="21"/>
      <c r="H45" s="81">
        <f t="shared" si="9"/>
        <v>6.9999999999999993E-2</v>
      </c>
      <c r="I45" s="81">
        <f t="shared" si="10"/>
        <v>6.9999999999999993E-2</v>
      </c>
      <c r="J45" s="82">
        <f t="shared" si="0"/>
        <v>6.9999999999999993E-2</v>
      </c>
      <c r="L45" s="84">
        <f t="shared" si="3"/>
        <v>1</v>
      </c>
      <c r="N45" s="38"/>
      <c r="O45" s="39"/>
      <c r="P45" s="38"/>
      <c r="Q45" s="39">
        <f t="shared" si="16"/>
        <v>0</v>
      </c>
      <c r="R45" s="38"/>
      <c r="S45" s="39"/>
      <c r="T45" s="38" t="str">
        <f t="shared" si="19"/>
        <v>Aw</v>
      </c>
      <c r="U45" s="39">
        <f t="shared" si="12"/>
        <v>1</v>
      </c>
      <c r="V45" s="39">
        <f t="shared" si="13"/>
        <v>1</v>
      </c>
      <c r="W45" s="38" t="str">
        <f t="shared" si="4"/>
        <v>Toepasbaar</v>
      </c>
      <c r="X45" s="39">
        <f t="shared" si="17"/>
        <v>0</v>
      </c>
      <c r="Y45" s="38" t="str">
        <f t="shared" si="5"/>
        <v>Toepasbaar</v>
      </c>
      <c r="AA45" s="39">
        <f t="shared" si="6"/>
        <v>0</v>
      </c>
      <c r="AB45" s="38" t="str">
        <f t="shared" si="14"/>
        <v>Toepasbaar</v>
      </c>
      <c r="AC45" s="39">
        <f t="shared" si="15"/>
        <v>0</v>
      </c>
      <c r="AD45" s="17">
        <f t="shared" si="7"/>
        <v>6.9999999999999993E-2</v>
      </c>
      <c r="AE45" s="17">
        <f t="shared" si="8"/>
        <v>6.9999999999999993E-2</v>
      </c>
    </row>
    <row r="46" spans="1:32" ht="12" x14ac:dyDescent="0.15">
      <c r="A46" s="94" t="s">
        <v>23</v>
      </c>
      <c r="B46" s="69" t="s">
        <v>50</v>
      </c>
      <c r="C46" s="106" t="s">
        <v>154</v>
      </c>
      <c r="D46" s="137">
        <v>0.1</v>
      </c>
      <c r="E46" s="106" t="str">
        <f t="shared" si="1"/>
        <v>&lt;</v>
      </c>
      <c r="F46" s="106">
        <f t="shared" si="2"/>
        <v>0.1</v>
      </c>
      <c r="G46" s="21"/>
      <c r="H46" s="81">
        <f t="shared" si="9"/>
        <v>6.9999999999999993E-2</v>
      </c>
      <c r="I46" s="81">
        <f t="shared" si="10"/>
        <v>6.9999999999999993E-2</v>
      </c>
      <c r="J46" s="82">
        <f t="shared" si="0"/>
        <v>6.9999999999999993E-2</v>
      </c>
      <c r="L46" s="84">
        <f t="shared" si="3"/>
        <v>1</v>
      </c>
      <c r="N46" s="38"/>
      <c r="O46" s="39"/>
      <c r="P46" s="38"/>
      <c r="Q46" s="39">
        <f t="shared" si="16"/>
        <v>0</v>
      </c>
      <c r="R46" s="38"/>
      <c r="S46" s="39"/>
      <c r="T46" s="38" t="str">
        <f t="shared" si="19"/>
        <v>Aw</v>
      </c>
      <c r="U46" s="39">
        <f t="shared" si="12"/>
        <v>1</v>
      </c>
      <c r="V46" s="39">
        <f t="shared" si="13"/>
        <v>1</v>
      </c>
      <c r="W46" s="38" t="str">
        <f t="shared" si="4"/>
        <v>Toepasbaar</v>
      </c>
      <c r="X46" s="39">
        <f t="shared" si="17"/>
        <v>0</v>
      </c>
      <c r="Y46" s="38" t="str">
        <f t="shared" si="5"/>
        <v>Toepasbaar</v>
      </c>
      <c r="AA46" s="39">
        <f t="shared" si="6"/>
        <v>0</v>
      </c>
      <c r="AB46" s="38" t="str">
        <f t="shared" si="14"/>
        <v>Toepasbaar</v>
      </c>
      <c r="AC46" s="39">
        <f t="shared" si="15"/>
        <v>0</v>
      </c>
      <c r="AD46" s="17">
        <f t="shared" si="7"/>
        <v>6.9999999999999993E-2</v>
      </c>
      <c r="AE46" s="17">
        <f t="shared" si="8"/>
        <v>6.9999999999999993E-2</v>
      </c>
    </row>
    <row r="47" spans="1:32" ht="12" x14ac:dyDescent="0.15">
      <c r="A47" s="94" t="s">
        <v>24</v>
      </c>
      <c r="B47" s="69" t="s">
        <v>51</v>
      </c>
      <c r="C47" s="106" t="s">
        <v>154</v>
      </c>
      <c r="D47" s="137">
        <v>0.1</v>
      </c>
      <c r="E47" s="106" t="str">
        <f t="shared" si="1"/>
        <v>&lt;</v>
      </c>
      <c r="F47" s="106">
        <f t="shared" si="2"/>
        <v>0.1</v>
      </c>
      <c r="G47" s="21"/>
      <c r="H47" s="81">
        <f t="shared" si="9"/>
        <v>6.9999999999999993E-2</v>
      </c>
      <c r="I47" s="81">
        <f t="shared" si="10"/>
        <v>6.9999999999999993E-2</v>
      </c>
      <c r="J47" s="82">
        <f t="shared" si="0"/>
        <v>6.9999999999999993E-2</v>
      </c>
      <c r="L47" s="84">
        <f t="shared" si="3"/>
        <v>1</v>
      </c>
      <c r="N47" s="38"/>
      <c r="O47" s="39"/>
      <c r="P47" s="38"/>
      <c r="Q47" s="39">
        <f t="shared" si="16"/>
        <v>0</v>
      </c>
      <c r="R47" s="38"/>
      <c r="S47" s="39"/>
      <c r="T47" s="38" t="str">
        <f t="shared" si="19"/>
        <v>Aw</v>
      </c>
      <c r="U47" s="39">
        <f t="shared" si="12"/>
        <v>1</v>
      </c>
      <c r="V47" s="39">
        <f t="shared" si="13"/>
        <v>1</v>
      </c>
      <c r="W47" s="38" t="str">
        <f t="shared" si="4"/>
        <v>Toepasbaar</v>
      </c>
      <c r="X47" s="39">
        <f t="shared" si="17"/>
        <v>0</v>
      </c>
      <c r="Y47" s="38" t="str">
        <f t="shared" si="5"/>
        <v>Toepasbaar</v>
      </c>
      <c r="AA47" s="39">
        <f t="shared" si="6"/>
        <v>0</v>
      </c>
      <c r="AB47" s="38" t="str">
        <f t="shared" si="14"/>
        <v>Toepasbaar</v>
      </c>
      <c r="AC47" s="39">
        <f t="shared" si="15"/>
        <v>0</v>
      </c>
      <c r="AD47" s="17">
        <f t="shared" si="7"/>
        <v>6.9999999999999993E-2</v>
      </c>
      <c r="AE47" s="17">
        <f t="shared" si="8"/>
        <v>6.9999999999999993E-2</v>
      </c>
    </row>
    <row r="48" spans="1:32" ht="12" x14ac:dyDescent="0.15">
      <c r="A48" s="94" t="s">
        <v>25</v>
      </c>
      <c r="B48" s="69" t="s">
        <v>52</v>
      </c>
      <c r="C48" s="106" t="s">
        <v>154</v>
      </c>
      <c r="D48" s="137">
        <v>0.1</v>
      </c>
      <c r="E48" s="106" t="str">
        <f t="shared" si="1"/>
        <v>&lt;</v>
      </c>
      <c r="F48" s="106">
        <f t="shared" si="2"/>
        <v>0.1</v>
      </c>
      <c r="G48" s="21"/>
      <c r="H48" s="81">
        <f t="shared" si="9"/>
        <v>6.9999999999999993E-2</v>
      </c>
      <c r="I48" s="81">
        <f t="shared" si="10"/>
        <v>6.9999999999999993E-2</v>
      </c>
      <c r="J48" s="82">
        <f t="shared" si="0"/>
        <v>6.9999999999999993E-2</v>
      </c>
      <c r="L48" s="84">
        <f t="shared" si="3"/>
        <v>1</v>
      </c>
      <c r="N48" s="38"/>
      <c r="O48" s="39"/>
      <c r="P48" s="38"/>
      <c r="Q48" s="39">
        <f t="shared" si="16"/>
        <v>0</v>
      </c>
      <c r="R48" s="38"/>
      <c r="S48" s="39"/>
      <c r="T48" s="38" t="str">
        <f t="shared" si="19"/>
        <v>Aw</v>
      </c>
      <c r="U48" s="39">
        <f t="shared" si="12"/>
        <v>1</v>
      </c>
      <c r="V48" s="39">
        <f t="shared" si="13"/>
        <v>1</v>
      </c>
      <c r="W48" s="38" t="str">
        <f t="shared" si="4"/>
        <v>Toepasbaar</v>
      </c>
      <c r="X48" s="39">
        <f t="shared" si="17"/>
        <v>0</v>
      </c>
      <c r="Y48" s="38" t="str">
        <f t="shared" si="5"/>
        <v>Toepasbaar</v>
      </c>
      <c r="AA48" s="39">
        <f t="shared" si="6"/>
        <v>0</v>
      </c>
      <c r="AB48" s="38" t="str">
        <f t="shared" si="14"/>
        <v>Toepasbaar</v>
      </c>
      <c r="AC48" s="39">
        <f t="shared" si="15"/>
        <v>0</v>
      </c>
      <c r="AD48" s="17">
        <f t="shared" si="7"/>
        <v>6.9999999999999993E-2</v>
      </c>
      <c r="AE48" s="17">
        <f t="shared" si="8"/>
        <v>6.9999999999999993E-2</v>
      </c>
    </row>
    <row r="49" spans="1:31" ht="12" x14ac:dyDescent="0.15">
      <c r="A49" s="94" t="s">
        <v>26</v>
      </c>
      <c r="B49" s="69" t="s">
        <v>53</v>
      </c>
      <c r="C49" s="106" t="s">
        <v>154</v>
      </c>
      <c r="D49" s="137">
        <v>0.1</v>
      </c>
      <c r="E49" s="106" t="str">
        <f t="shared" si="1"/>
        <v>&lt;</v>
      </c>
      <c r="F49" s="106">
        <f t="shared" si="2"/>
        <v>0.1</v>
      </c>
      <c r="G49" s="21"/>
      <c r="H49" s="81">
        <f t="shared" si="9"/>
        <v>6.9999999999999993E-2</v>
      </c>
      <c r="I49" s="81">
        <f t="shared" si="10"/>
        <v>6.9999999999999993E-2</v>
      </c>
      <c r="J49" s="82">
        <f t="shared" si="0"/>
        <v>6.9999999999999993E-2</v>
      </c>
      <c r="L49" s="84">
        <f t="shared" si="3"/>
        <v>1</v>
      </c>
      <c r="N49" s="38"/>
      <c r="O49" s="39"/>
      <c r="P49" s="38"/>
      <c r="Q49" s="39">
        <f t="shared" si="16"/>
        <v>0</v>
      </c>
      <c r="R49" s="38"/>
      <c r="S49" s="39"/>
      <c r="T49" s="38" t="str">
        <f t="shared" si="19"/>
        <v>Aw</v>
      </c>
      <c r="U49" s="39">
        <f t="shared" si="12"/>
        <v>1</v>
      </c>
      <c r="V49" s="39">
        <f t="shared" si="13"/>
        <v>1</v>
      </c>
      <c r="W49" s="38" t="str">
        <f t="shared" si="4"/>
        <v>Toepasbaar</v>
      </c>
      <c r="X49" s="39">
        <f t="shared" si="17"/>
        <v>0</v>
      </c>
      <c r="Y49" s="38" t="str">
        <f t="shared" si="5"/>
        <v>Toepasbaar</v>
      </c>
      <c r="AA49" s="39">
        <f t="shared" si="6"/>
        <v>0</v>
      </c>
      <c r="AB49" s="38" t="str">
        <f t="shared" si="14"/>
        <v>Toepasbaar</v>
      </c>
      <c r="AC49" s="39">
        <f t="shared" si="15"/>
        <v>0</v>
      </c>
      <c r="AD49" s="17">
        <f t="shared" si="7"/>
        <v>6.9999999999999993E-2</v>
      </c>
      <c r="AE49" s="17">
        <f t="shared" si="8"/>
        <v>6.9999999999999993E-2</v>
      </c>
    </row>
    <row r="50" spans="1:31" ht="12" x14ac:dyDescent="0.15">
      <c r="A50" s="94" t="s">
        <v>27</v>
      </c>
      <c r="B50" s="69" t="s">
        <v>54</v>
      </c>
      <c r="C50" s="106" t="s">
        <v>154</v>
      </c>
      <c r="D50" s="137">
        <v>0.1</v>
      </c>
      <c r="E50" s="106" t="str">
        <f t="shared" si="1"/>
        <v>&lt;</v>
      </c>
      <c r="F50" s="106">
        <f t="shared" si="2"/>
        <v>0.1</v>
      </c>
      <c r="G50" s="21"/>
      <c r="H50" s="81">
        <f t="shared" si="9"/>
        <v>6.9999999999999993E-2</v>
      </c>
      <c r="I50" s="81">
        <f t="shared" si="10"/>
        <v>6.9999999999999993E-2</v>
      </c>
      <c r="J50" s="82">
        <f t="shared" si="0"/>
        <v>6.9999999999999993E-2</v>
      </c>
      <c r="L50" s="84">
        <f t="shared" si="3"/>
        <v>1</v>
      </c>
      <c r="N50" s="38"/>
      <c r="O50" s="39"/>
      <c r="P50" s="38"/>
      <c r="Q50" s="39">
        <f t="shared" si="16"/>
        <v>0</v>
      </c>
      <c r="R50" s="38"/>
      <c r="S50" s="39"/>
      <c r="T50" s="38" t="str">
        <f t="shared" si="19"/>
        <v>Aw</v>
      </c>
      <c r="U50" s="39">
        <f t="shared" si="12"/>
        <v>1</v>
      </c>
      <c r="V50" s="39">
        <f t="shared" si="13"/>
        <v>1</v>
      </c>
      <c r="W50" s="38" t="str">
        <f t="shared" si="4"/>
        <v>Toepasbaar</v>
      </c>
      <c r="X50" s="39">
        <f t="shared" si="17"/>
        <v>0</v>
      </c>
      <c r="Y50" s="38" t="str">
        <f t="shared" si="5"/>
        <v>Toepasbaar</v>
      </c>
      <c r="AA50" s="39">
        <f t="shared" si="6"/>
        <v>0</v>
      </c>
      <c r="AB50" s="38" t="str">
        <f t="shared" si="14"/>
        <v>Toepasbaar</v>
      </c>
      <c r="AC50" s="39">
        <f t="shared" si="15"/>
        <v>0</v>
      </c>
      <c r="AD50" s="17">
        <f t="shared" si="7"/>
        <v>6.9999999999999993E-2</v>
      </c>
      <c r="AE50" s="17">
        <f t="shared" si="8"/>
        <v>6.9999999999999993E-2</v>
      </c>
    </row>
    <row r="51" spans="1:31" ht="12" x14ac:dyDescent="0.15">
      <c r="A51" s="94" t="s">
        <v>28</v>
      </c>
      <c r="B51" s="69" t="s">
        <v>55</v>
      </c>
      <c r="C51" s="106" t="s">
        <v>154</v>
      </c>
      <c r="D51" s="137">
        <v>0.1</v>
      </c>
      <c r="E51" s="106" t="str">
        <f t="shared" si="1"/>
        <v>&lt;</v>
      </c>
      <c r="F51" s="106">
        <f t="shared" si="2"/>
        <v>0.1</v>
      </c>
      <c r="G51" s="21"/>
      <c r="H51" s="81">
        <f t="shared" si="9"/>
        <v>6.9999999999999993E-2</v>
      </c>
      <c r="I51" s="81">
        <f t="shared" si="10"/>
        <v>6.9999999999999993E-2</v>
      </c>
      <c r="J51" s="82">
        <f t="shared" si="0"/>
        <v>6.9999999999999993E-2</v>
      </c>
      <c r="L51" s="84">
        <f t="shared" si="3"/>
        <v>1</v>
      </c>
      <c r="N51" s="38"/>
      <c r="O51" s="39"/>
      <c r="P51" s="38"/>
      <c r="Q51" s="39">
        <f t="shared" si="16"/>
        <v>0</v>
      </c>
      <c r="R51" s="38"/>
      <c r="S51" s="39"/>
      <c r="T51" s="38" t="str">
        <f t="shared" si="19"/>
        <v>Aw</v>
      </c>
      <c r="U51" s="39">
        <f t="shared" si="12"/>
        <v>1</v>
      </c>
      <c r="V51" s="39">
        <f t="shared" si="13"/>
        <v>1</v>
      </c>
      <c r="W51" s="38" t="str">
        <f t="shared" si="4"/>
        <v>Toepasbaar</v>
      </c>
      <c r="X51" s="39">
        <f t="shared" si="17"/>
        <v>0</v>
      </c>
      <c r="Y51" s="38" t="str">
        <f t="shared" si="5"/>
        <v>Toepasbaar</v>
      </c>
      <c r="AA51" s="39">
        <f t="shared" si="6"/>
        <v>0</v>
      </c>
      <c r="AB51" s="38" t="str">
        <f t="shared" si="14"/>
        <v>Toepasbaar</v>
      </c>
      <c r="AC51" s="39">
        <f t="shared" si="15"/>
        <v>0</v>
      </c>
      <c r="AD51" s="17">
        <f t="shared" si="7"/>
        <v>6.9999999999999993E-2</v>
      </c>
      <c r="AE51" s="17">
        <f t="shared" si="8"/>
        <v>6.9999999999999993E-2</v>
      </c>
    </row>
    <row r="52" spans="1:31" ht="12" x14ac:dyDescent="0.15">
      <c r="A52" s="94" t="s">
        <v>29</v>
      </c>
      <c r="B52" s="69" t="s">
        <v>56</v>
      </c>
      <c r="C52" s="106" t="s">
        <v>154</v>
      </c>
      <c r="D52" s="137">
        <v>0.1</v>
      </c>
      <c r="E52" s="106" t="str">
        <f t="shared" si="1"/>
        <v>&lt;</v>
      </c>
      <c r="F52" s="106">
        <f t="shared" si="2"/>
        <v>0.1</v>
      </c>
      <c r="G52" s="21"/>
      <c r="H52" s="81">
        <f t="shared" si="9"/>
        <v>6.9999999999999993E-2</v>
      </c>
      <c r="I52" s="81">
        <f t="shared" si="10"/>
        <v>6.9999999999999993E-2</v>
      </c>
      <c r="J52" s="82">
        <f t="shared" si="0"/>
        <v>6.9999999999999993E-2</v>
      </c>
      <c r="L52" s="84">
        <f t="shared" si="3"/>
        <v>1</v>
      </c>
      <c r="N52" s="38"/>
      <c r="O52" s="39"/>
      <c r="P52" s="38"/>
      <c r="Q52" s="39">
        <f t="shared" si="16"/>
        <v>0</v>
      </c>
      <c r="R52" s="38"/>
      <c r="S52" s="39"/>
      <c r="T52" s="38" t="str">
        <f t="shared" si="19"/>
        <v>Aw</v>
      </c>
      <c r="U52" s="39">
        <f t="shared" si="12"/>
        <v>1</v>
      </c>
      <c r="V52" s="39">
        <f t="shared" si="13"/>
        <v>1</v>
      </c>
      <c r="W52" s="38" t="str">
        <f t="shared" si="4"/>
        <v>Toepasbaar</v>
      </c>
      <c r="X52" s="39">
        <f t="shared" si="17"/>
        <v>0</v>
      </c>
      <c r="Y52" s="38" t="str">
        <f t="shared" si="5"/>
        <v>Toepasbaar</v>
      </c>
      <c r="AA52" s="39">
        <f t="shared" si="6"/>
        <v>0</v>
      </c>
      <c r="AB52" s="38" t="str">
        <f t="shared" si="14"/>
        <v>Toepasbaar</v>
      </c>
      <c r="AC52" s="39">
        <f t="shared" si="15"/>
        <v>0</v>
      </c>
      <c r="AD52" s="17">
        <f t="shared" si="7"/>
        <v>6.9999999999999993E-2</v>
      </c>
      <c r="AE52" s="17">
        <f t="shared" si="8"/>
        <v>6.9999999999999993E-2</v>
      </c>
    </row>
    <row r="53" spans="1:31" ht="12" x14ac:dyDescent="0.15">
      <c r="A53" s="95" t="s">
        <v>153</v>
      </c>
      <c r="B53" s="69" t="s">
        <v>175</v>
      </c>
      <c r="C53" s="106" t="s">
        <v>154</v>
      </c>
      <c r="D53" s="138">
        <v>0.1</v>
      </c>
      <c r="E53" s="106" t="str">
        <f t="shared" si="1"/>
        <v>&lt;</v>
      </c>
      <c r="F53" s="138">
        <f t="shared" si="2"/>
        <v>0.1</v>
      </c>
      <c r="G53" s="21"/>
      <c r="H53" s="81">
        <f t="shared" si="9"/>
        <v>6.9999999999999993E-2</v>
      </c>
      <c r="I53" s="81">
        <f t="shared" si="10"/>
        <v>6.9999999999999993E-2</v>
      </c>
      <c r="J53" s="82">
        <f t="shared" si="0"/>
        <v>6.9999999999999993E-2</v>
      </c>
      <c r="L53" s="84">
        <f t="shared" si="3"/>
        <v>1</v>
      </c>
      <c r="N53" s="38" t="str">
        <f>IF(J53&lt;=$T$8,"L/N",IF(J53&lt;=$T$9,"W of I",IF(J53&gt;$T$10,"NT")))</f>
        <v>L/N</v>
      </c>
      <c r="O53" s="39">
        <f t="shared" si="18"/>
        <v>0</v>
      </c>
      <c r="P53" s="38"/>
      <c r="Q53" s="39"/>
      <c r="R53" s="38"/>
      <c r="S53" s="39"/>
      <c r="T53" s="38"/>
      <c r="U53" s="39">
        <f t="shared" si="12"/>
        <v>0</v>
      </c>
      <c r="V53" s="39">
        <f t="shared" si="13"/>
        <v>0</v>
      </c>
      <c r="W53" s="38" t="str">
        <f>IF(J53&gt;$C$103,"Niet Toepasbaar","Toepasbaar")</f>
        <v>Toepasbaar</v>
      </c>
      <c r="X53" s="39">
        <f t="shared" si="17"/>
        <v>0</v>
      </c>
      <c r="Y53" s="38" t="str">
        <f>IF(J53&gt;$C$104,"Niet Toepasbaar","Toepasbaar")</f>
        <v>Toepasbaar</v>
      </c>
      <c r="AA53" s="39">
        <f t="shared" si="6"/>
        <v>0</v>
      </c>
      <c r="AB53" s="38" t="str">
        <f t="shared" si="14"/>
        <v>Toepasbaar</v>
      </c>
      <c r="AC53" s="39">
        <f t="shared" si="15"/>
        <v>0</v>
      </c>
      <c r="AD53" s="17">
        <f t="shared" si="7"/>
        <v>6.9999999999999993E-2</v>
      </c>
      <c r="AE53" s="17">
        <f t="shared" si="8"/>
        <v>6.9999999999999993E-2</v>
      </c>
    </row>
    <row r="54" spans="1:31" ht="12" x14ac:dyDescent="0.15">
      <c r="A54" s="95" t="s">
        <v>40</v>
      </c>
      <c r="B54" s="69" t="s">
        <v>40</v>
      </c>
      <c r="C54" s="106" t="s">
        <v>154</v>
      </c>
      <c r="D54" s="138">
        <v>0.1</v>
      </c>
      <c r="E54" s="106" t="str">
        <f t="shared" si="1"/>
        <v>&lt;</v>
      </c>
      <c r="F54" s="138">
        <f t="shared" si="2"/>
        <v>0.1</v>
      </c>
      <c r="G54" s="21"/>
      <c r="H54" s="81">
        <f t="shared" si="9"/>
        <v>6.9999999999999993E-2</v>
      </c>
      <c r="I54" s="81">
        <f t="shared" si="10"/>
        <v>6.9999999999999993E-2</v>
      </c>
      <c r="J54" s="82">
        <f t="shared" si="0"/>
        <v>6.9999999999999993E-2</v>
      </c>
      <c r="L54" s="84">
        <f t="shared" si="3"/>
        <v>1</v>
      </c>
      <c r="N54" s="38" t="str">
        <f>IF(J54&lt;=$T$8,"L/N",IF(J54&lt;=$T$9,"W of I",IF(J54&gt;$T$10,"NT")))</f>
        <v>L/N</v>
      </c>
      <c r="O54" s="39">
        <f t="shared" si="18"/>
        <v>0</v>
      </c>
      <c r="P54" s="38"/>
      <c r="Q54" s="39"/>
      <c r="R54" s="38"/>
      <c r="S54" s="39"/>
      <c r="T54" s="38"/>
      <c r="U54" s="39">
        <f t="shared" si="12"/>
        <v>0</v>
      </c>
      <c r="V54" s="39">
        <f t="shared" si="13"/>
        <v>0</v>
      </c>
      <c r="W54" s="38" t="str">
        <f>IF(J54&gt;$C$103,"Niet Toepasbaar","Toepasbaar")</f>
        <v>Toepasbaar</v>
      </c>
      <c r="X54" s="39">
        <f>IF(W54="Niet Toepasbaar",1,0)</f>
        <v>0</v>
      </c>
      <c r="Y54" s="38" t="str">
        <f>IF(J54&gt;$C$104,"Niet Toepasbaar","Toepasbaar")</f>
        <v>Toepasbaar</v>
      </c>
      <c r="AA54" s="39">
        <f t="shared" si="6"/>
        <v>0</v>
      </c>
      <c r="AB54" s="38" t="str">
        <f t="shared" si="14"/>
        <v>Toepasbaar</v>
      </c>
      <c r="AC54" s="39">
        <f t="shared" si="15"/>
        <v>0</v>
      </c>
      <c r="AD54" s="17">
        <f t="shared" si="7"/>
        <v>6.9999999999999993E-2</v>
      </c>
      <c r="AE54" s="17">
        <f t="shared" si="8"/>
        <v>6.9999999999999993E-2</v>
      </c>
    </row>
    <row r="55" spans="1:31" ht="12" x14ac:dyDescent="0.15">
      <c r="A55" s="94" t="s">
        <v>30</v>
      </c>
      <c r="B55" s="69" t="s">
        <v>58</v>
      </c>
      <c r="C55" s="106" t="s">
        <v>154</v>
      </c>
      <c r="D55" s="137">
        <v>0.1</v>
      </c>
      <c r="E55" s="106" t="str">
        <f t="shared" si="1"/>
        <v>&lt;</v>
      </c>
      <c r="F55" s="106">
        <f t="shared" si="2"/>
        <v>0.1</v>
      </c>
      <c r="G55" s="21"/>
      <c r="H55" s="81">
        <f t="shared" si="9"/>
        <v>6.9999999999999993E-2</v>
      </c>
      <c r="I55" s="81">
        <f t="shared" si="10"/>
        <v>6.9999999999999993E-2</v>
      </c>
      <c r="J55" s="82">
        <f t="shared" si="0"/>
        <v>6.9999999999999993E-2</v>
      </c>
      <c r="L55" s="84">
        <f t="shared" si="3"/>
        <v>1</v>
      </c>
      <c r="N55" s="38"/>
      <c r="O55" s="39"/>
      <c r="P55" s="38"/>
      <c r="Q55" s="39">
        <f t="shared" si="16"/>
        <v>0</v>
      </c>
      <c r="R55" s="38"/>
      <c r="S55" s="39"/>
      <c r="T55" s="38" t="str">
        <f>IF(J55&lt;=$Y$11,"Aw",IF(J55&lt;=$Y$8,"L/N",IF(J55&lt;=$Y$9,"W of I",IF(J55&gt;$Y$10,"NT"))))</f>
        <v>Aw</v>
      </c>
      <c r="U55" s="39">
        <f t="shared" si="12"/>
        <v>1</v>
      </c>
      <c r="V55" s="39">
        <f t="shared" si="13"/>
        <v>1</v>
      </c>
      <c r="W55" s="38" t="str">
        <f t="shared" ref="W55:W65" si="20">IF(J55&gt;$F$103,"Niet Toepasbaar","Toepasbaar")</f>
        <v>Toepasbaar</v>
      </c>
      <c r="X55" s="39">
        <f t="shared" si="17"/>
        <v>0</v>
      </c>
      <c r="Y55" s="38" t="str">
        <f t="shared" ref="Y55:Y65" si="21">IF(J55&gt;$F$104,"Niet Toepasbaar","Toepasbaar")</f>
        <v>Toepasbaar</v>
      </c>
      <c r="AA55" s="39">
        <f t="shared" si="6"/>
        <v>0</v>
      </c>
      <c r="AB55" s="38" t="str">
        <f t="shared" si="14"/>
        <v>Toepasbaar</v>
      </c>
      <c r="AC55" s="39">
        <f t="shared" si="15"/>
        <v>0</v>
      </c>
      <c r="AD55" s="17">
        <f t="shared" si="7"/>
        <v>6.9999999999999993E-2</v>
      </c>
      <c r="AE55" s="17">
        <f t="shared" si="8"/>
        <v>6.9999999999999993E-2</v>
      </c>
    </row>
    <row r="56" spans="1:31" ht="12" x14ac:dyDescent="0.15">
      <c r="A56" s="94" t="s">
        <v>31</v>
      </c>
      <c r="B56" s="69" t="s">
        <v>59</v>
      </c>
      <c r="C56" s="106" t="s">
        <v>154</v>
      </c>
      <c r="D56" s="137">
        <v>0.1</v>
      </c>
      <c r="E56" s="106" t="str">
        <f t="shared" si="1"/>
        <v>&lt;</v>
      </c>
      <c r="F56" s="106">
        <f t="shared" si="2"/>
        <v>0.1</v>
      </c>
      <c r="G56" s="21"/>
      <c r="H56" s="81">
        <f t="shared" si="9"/>
        <v>6.9999999999999993E-2</v>
      </c>
      <c r="I56" s="81">
        <f t="shared" si="10"/>
        <v>6.9999999999999993E-2</v>
      </c>
      <c r="J56" s="82">
        <f t="shared" si="0"/>
        <v>6.9999999999999993E-2</v>
      </c>
      <c r="L56" s="84">
        <f t="shared" si="3"/>
        <v>1</v>
      </c>
      <c r="N56" s="38"/>
      <c r="O56" s="39"/>
      <c r="P56" s="38"/>
      <c r="Q56" s="39">
        <f t="shared" si="16"/>
        <v>0</v>
      </c>
      <c r="R56" s="38"/>
      <c r="S56" s="39"/>
      <c r="T56" s="38" t="str">
        <f t="shared" ref="T56:T76" si="22">IF(J56&lt;=$Y$11,"Aw",IF(J56&lt;=$Y$8,"L/N",IF(J56&lt;=$Y$9,"W of I",IF(J56&gt;$Y$10,"NT"))))</f>
        <v>Aw</v>
      </c>
      <c r="U56" s="39">
        <f t="shared" si="12"/>
        <v>1</v>
      </c>
      <c r="V56" s="39">
        <f t="shared" si="13"/>
        <v>1</v>
      </c>
      <c r="W56" s="38" t="str">
        <f t="shared" si="20"/>
        <v>Toepasbaar</v>
      </c>
      <c r="X56" s="39">
        <f t="shared" si="17"/>
        <v>0</v>
      </c>
      <c r="Y56" s="38" t="str">
        <f t="shared" si="21"/>
        <v>Toepasbaar</v>
      </c>
      <c r="AA56" s="39">
        <f t="shared" si="6"/>
        <v>0</v>
      </c>
      <c r="AB56" s="38" t="str">
        <f t="shared" si="14"/>
        <v>Toepasbaar</v>
      </c>
      <c r="AC56" s="39">
        <f t="shared" si="15"/>
        <v>0</v>
      </c>
      <c r="AD56" s="17">
        <f t="shared" si="7"/>
        <v>6.9999999999999993E-2</v>
      </c>
      <c r="AE56" s="17">
        <f t="shared" si="8"/>
        <v>6.9999999999999993E-2</v>
      </c>
    </row>
    <row r="57" spans="1:31" ht="12" x14ac:dyDescent="0.15">
      <c r="A57" s="94" t="s">
        <v>32</v>
      </c>
      <c r="B57" s="69" t="s">
        <v>60</v>
      </c>
      <c r="C57" s="106" t="s">
        <v>154</v>
      </c>
      <c r="D57" s="137">
        <v>0.1</v>
      </c>
      <c r="E57" s="106" t="str">
        <f t="shared" si="1"/>
        <v>&lt;</v>
      </c>
      <c r="F57" s="106">
        <f t="shared" si="2"/>
        <v>0.1</v>
      </c>
      <c r="G57" s="21"/>
      <c r="H57" s="81">
        <f t="shared" si="9"/>
        <v>6.9999999999999993E-2</v>
      </c>
      <c r="I57" s="81">
        <f t="shared" si="10"/>
        <v>6.9999999999999993E-2</v>
      </c>
      <c r="J57" s="82">
        <f t="shared" si="0"/>
        <v>6.9999999999999993E-2</v>
      </c>
      <c r="L57" s="84">
        <f t="shared" si="3"/>
        <v>1</v>
      </c>
      <c r="N57" s="38"/>
      <c r="O57" s="39"/>
      <c r="P57" s="38"/>
      <c r="Q57" s="39">
        <f t="shared" si="16"/>
        <v>0</v>
      </c>
      <c r="R57" s="38"/>
      <c r="S57" s="39"/>
      <c r="T57" s="38" t="str">
        <f t="shared" si="22"/>
        <v>Aw</v>
      </c>
      <c r="U57" s="39">
        <f t="shared" si="12"/>
        <v>1</v>
      </c>
      <c r="V57" s="39">
        <f t="shared" si="13"/>
        <v>1</v>
      </c>
      <c r="W57" s="38" t="str">
        <f t="shared" si="20"/>
        <v>Toepasbaar</v>
      </c>
      <c r="X57" s="39">
        <f t="shared" si="17"/>
        <v>0</v>
      </c>
      <c r="Y57" s="38" t="str">
        <f t="shared" si="21"/>
        <v>Toepasbaar</v>
      </c>
      <c r="AA57" s="39">
        <f t="shared" si="6"/>
        <v>0</v>
      </c>
      <c r="AB57" s="38" t="str">
        <f t="shared" si="14"/>
        <v>Toepasbaar</v>
      </c>
      <c r="AC57" s="39">
        <f t="shared" si="15"/>
        <v>0</v>
      </c>
      <c r="AD57" s="17">
        <f t="shared" si="7"/>
        <v>6.9999999999999993E-2</v>
      </c>
      <c r="AE57" s="17">
        <f t="shared" si="8"/>
        <v>6.9999999999999993E-2</v>
      </c>
    </row>
    <row r="58" spans="1:31" ht="12" x14ac:dyDescent="0.15">
      <c r="A58" s="94" t="s">
        <v>33</v>
      </c>
      <c r="B58" s="69" t="s">
        <v>61</v>
      </c>
      <c r="C58" s="106" t="s">
        <v>154</v>
      </c>
      <c r="D58" s="137">
        <v>0.1</v>
      </c>
      <c r="E58" s="106" t="str">
        <f t="shared" si="1"/>
        <v>&lt;</v>
      </c>
      <c r="F58" s="106">
        <f t="shared" si="2"/>
        <v>0.1</v>
      </c>
      <c r="G58" s="21"/>
      <c r="H58" s="81">
        <f t="shared" si="9"/>
        <v>6.9999999999999993E-2</v>
      </c>
      <c r="I58" s="81">
        <f t="shared" si="10"/>
        <v>6.9999999999999993E-2</v>
      </c>
      <c r="J58" s="82">
        <f t="shared" si="0"/>
        <v>6.9999999999999993E-2</v>
      </c>
      <c r="L58" s="84">
        <f t="shared" si="3"/>
        <v>1</v>
      </c>
      <c r="N58" s="38"/>
      <c r="O58" s="39"/>
      <c r="P58" s="38"/>
      <c r="Q58" s="39">
        <f t="shared" si="16"/>
        <v>0</v>
      </c>
      <c r="R58" s="38"/>
      <c r="S58" s="39"/>
      <c r="T58" s="38" t="str">
        <f t="shared" si="22"/>
        <v>Aw</v>
      </c>
      <c r="U58" s="39">
        <f t="shared" si="12"/>
        <v>1</v>
      </c>
      <c r="V58" s="39">
        <f t="shared" si="13"/>
        <v>1</v>
      </c>
      <c r="W58" s="38" t="str">
        <f t="shared" si="20"/>
        <v>Toepasbaar</v>
      </c>
      <c r="X58" s="39">
        <f t="shared" si="17"/>
        <v>0</v>
      </c>
      <c r="Y58" s="38" t="str">
        <f t="shared" si="21"/>
        <v>Toepasbaar</v>
      </c>
      <c r="AA58" s="39">
        <f t="shared" si="6"/>
        <v>0</v>
      </c>
      <c r="AB58" s="38" t="str">
        <f t="shared" si="14"/>
        <v>Toepasbaar</v>
      </c>
      <c r="AC58" s="39">
        <f t="shared" si="15"/>
        <v>0</v>
      </c>
      <c r="AD58" s="17">
        <f t="shared" si="7"/>
        <v>6.9999999999999993E-2</v>
      </c>
      <c r="AE58" s="17">
        <f t="shared" si="8"/>
        <v>6.9999999999999993E-2</v>
      </c>
    </row>
    <row r="59" spans="1:31" ht="12" x14ac:dyDescent="0.15">
      <c r="A59" s="94" t="s">
        <v>34</v>
      </c>
      <c r="B59" s="69" t="s">
        <v>62</v>
      </c>
      <c r="C59" s="106" t="s">
        <v>154</v>
      </c>
      <c r="D59" s="137">
        <v>0.1</v>
      </c>
      <c r="E59" s="106" t="str">
        <f t="shared" si="1"/>
        <v>&lt;</v>
      </c>
      <c r="F59" s="106">
        <f t="shared" si="2"/>
        <v>0.1</v>
      </c>
      <c r="G59" s="21"/>
      <c r="H59" s="81">
        <f t="shared" si="9"/>
        <v>6.9999999999999993E-2</v>
      </c>
      <c r="I59" s="81">
        <f t="shared" si="10"/>
        <v>6.9999999999999993E-2</v>
      </c>
      <c r="J59" s="82">
        <f t="shared" si="0"/>
        <v>6.9999999999999993E-2</v>
      </c>
      <c r="L59" s="84">
        <f t="shared" si="3"/>
        <v>1</v>
      </c>
      <c r="N59" s="38"/>
      <c r="O59" s="39"/>
      <c r="P59" s="38"/>
      <c r="Q59" s="39">
        <f t="shared" si="16"/>
        <v>0</v>
      </c>
      <c r="R59" s="38"/>
      <c r="S59" s="39"/>
      <c r="T59" s="38" t="str">
        <f t="shared" si="22"/>
        <v>Aw</v>
      </c>
      <c r="U59" s="39">
        <f t="shared" si="12"/>
        <v>1</v>
      </c>
      <c r="V59" s="39">
        <f t="shared" si="13"/>
        <v>1</v>
      </c>
      <c r="W59" s="38" t="str">
        <f t="shared" si="20"/>
        <v>Toepasbaar</v>
      </c>
      <c r="X59" s="39">
        <f t="shared" si="17"/>
        <v>0</v>
      </c>
      <c r="Y59" s="38" t="str">
        <f t="shared" si="21"/>
        <v>Toepasbaar</v>
      </c>
      <c r="AA59" s="39">
        <f t="shared" si="6"/>
        <v>0</v>
      </c>
      <c r="AB59" s="38" t="str">
        <f t="shared" si="14"/>
        <v>Toepasbaar</v>
      </c>
      <c r="AC59" s="39">
        <f t="shared" si="15"/>
        <v>0</v>
      </c>
      <c r="AD59" s="17">
        <f t="shared" si="7"/>
        <v>6.9999999999999993E-2</v>
      </c>
      <c r="AE59" s="17">
        <f t="shared" si="8"/>
        <v>6.9999999999999993E-2</v>
      </c>
    </row>
    <row r="60" spans="1:31" ht="12" x14ac:dyDescent="0.15">
      <c r="A60" s="94" t="s">
        <v>38</v>
      </c>
      <c r="B60" s="69" t="s">
        <v>66</v>
      </c>
      <c r="C60" s="106" t="s">
        <v>154</v>
      </c>
      <c r="D60" s="137">
        <v>0.1</v>
      </c>
      <c r="E60" s="106" t="str">
        <f t="shared" si="1"/>
        <v>&lt;</v>
      </c>
      <c r="F60" s="106">
        <f t="shared" si="2"/>
        <v>0.1</v>
      </c>
      <c r="G60" s="21"/>
      <c r="H60" s="81">
        <f t="shared" si="9"/>
        <v>6.9999999999999993E-2</v>
      </c>
      <c r="I60" s="81">
        <f t="shared" si="10"/>
        <v>6.9999999999999993E-2</v>
      </c>
      <c r="J60" s="82">
        <f t="shared" si="0"/>
        <v>6.9999999999999993E-2</v>
      </c>
      <c r="L60" s="84">
        <f t="shared" si="3"/>
        <v>1</v>
      </c>
      <c r="N60" s="38"/>
      <c r="O60" s="39"/>
      <c r="P60" s="38"/>
      <c r="Q60" s="39">
        <f t="shared" si="16"/>
        <v>0</v>
      </c>
      <c r="R60" s="38"/>
      <c r="S60" s="39"/>
      <c r="T60" s="38" t="str">
        <f t="shared" si="22"/>
        <v>Aw</v>
      </c>
      <c r="U60" s="39">
        <f t="shared" si="12"/>
        <v>1</v>
      </c>
      <c r="V60" s="39">
        <f t="shared" si="13"/>
        <v>1</v>
      </c>
      <c r="W60" s="38" t="str">
        <f t="shared" si="20"/>
        <v>Toepasbaar</v>
      </c>
      <c r="X60" s="39">
        <f>IF(W60="Niet Toepasbaar",1,0)</f>
        <v>0</v>
      </c>
      <c r="Y60" s="38" t="str">
        <f t="shared" si="21"/>
        <v>Toepasbaar</v>
      </c>
      <c r="AA60" s="39">
        <f t="shared" si="6"/>
        <v>0</v>
      </c>
      <c r="AB60" s="38" t="str">
        <f t="shared" si="14"/>
        <v>Toepasbaar</v>
      </c>
      <c r="AC60" s="39">
        <f t="shared" si="15"/>
        <v>0</v>
      </c>
      <c r="AD60" s="17">
        <f t="shared" si="7"/>
        <v>6.9999999999999993E-2</v>
      </c>
      <c r="AE60" s="17">
        <f t="shared" si="8"/>
        <v>6.9999999999999993E-2</v>
      </c>
    </row>
    <row r="61" spans="1:31" ht="12" x14ac:dyDescent="0.15">
      <c r="A61" s="94" t="s">
        <v>37</v>
      </c>
      <c r="B61" s="69" t="s">
        <v>65</v>
      </c>
      <c r="C61" s="106" t="s">
        <v>154</v>
      </c>
      <c r="D61" s="137">
        <v>0.1</v>
      </c>
      <c r="E61" s="106" t="str">
        <f t="shared" si="1"/>
        <v>&lt;</v>
      </c>
      <c r="F61" s="106">
        <f t="shared" si="2"/>
        <v>0.1</v>
      </c>
      <c r="G61" s="21"/>
      <c r="H61" s="81">
        <f t="shared" si="9"/>
        <v>6.9999999999999993E-2</v>
      </c>
      <c r="I61" s="81">
        <f t="shared" si="10"/>
        <v>6.9999999999999993E-2</v>
      </c>
      <c r="J61" s="82">
        <f t="shared" si="0"/>
        <v>6.9999999999999993E-2</v>
      </c>
      <c r="L61" s="84">
        <f t="shared" si="3"/>
        <v>1</v>
      </c>
      <c r="N61" s="38"/>
      <c r="O61" s="39"/>
      <c r="P61" s="38"/>
      <c r="Q61" s="39">
        <f t="shared" si="16"/>
        <v>0</v>
      </c>
      <c r="R61" s="38"/>
      <c r="S61" s="39"/>
      <c r="T61" s="38" t="str">
        <f t="shared" si="22"/>
        <v>Aw</v>
      </c>
      <c r="U61" s="39">
        <f t="shared" si="12"/>
        <v>1</v>
      </c>
      <c r="V61" s="39">
        <f t="shared" si="13"/>
        <v>1</v>
      </c>
      <c r="W61" s="38" t="str">
        <f t="shared" si="20"/>
        <v>Toepasbaar</v>
      </c>
      <c r="X61" s="39">
        <f>IF(W61="Niet Toepasbaar",1,0)</f>
        <v>0</v>
      </c>
      <c r="Y61" s="38" t="str">
        <f t="shared" si="21"/>
        <v>Toepasbaar</v>
      </c>
      <c r="AA61" s="39">
        <f t="shared" si="6"/>
        <v>0</v>
      </c>
      <c r="AB61" s="38" t="str">
        <f t="shared" si="14"/>
        <v>Toepasbaar</v>
      </c>
      <c r="AC61" s="39">
        <f t="shared" si="15"/>
        <v>0</v>
      </c>
      <c r="AD61" s="17">
        <f t="shared" si="7"/>
        <v>6.9999999999999993E-2</v>
      </c>
      <c r="AE61" s="17">
        <f t="shared" si="8"/>
        <v>6.9999999999999993E-2</v>
      </c>
    </row>
    <row r="62" spans="1:31" ht="12" x14ac:dyDescent="0.15">
      <c r="A62" s="94" t="s">
        <v>35</v>
      </c>
      <c r="B62" s="69" t="s">
        <v>63</v>
      </c>
      <c r="C62" s="106" t="s">
        <v>154</v>
      </c>
      <c r="D62" s="137">
        <v>0.1</v>
      </c>
      <c r="E62" s="106" t="str">
        <f t="shared" si="1"/>
        <v>&lt;</v>
      </c>
      <c r="F62" s="106">
        <f t="shared" si="2"/>
        <v>0.1</v>
      </c>
      <c r="G62" s="21"/>
      <c r="H62" s="81">
        <f t="shared" si="9"/>
        <v>6.9999999999999993E-2</v>
      </c>
      <c r="I62" s="81">
        <f t="shared" si="10"/>
        <v>6.9999999999999993E-2</v>
      </c>
      <c r="J62" s="82">
        <f t="shared" si="0"/>
        <v>6.9999999999999993E-2</v>
      </c>
      <c r="L62" s="84">
        <f t="shared" si="3"/>
        <v>1</v>
      </c>
      <c r="N62" s="38"/>
      <c r="O62" s="39"/>
      <c r="P62" s="38"/>
      <c r="Q62" s="39">
        <f t="shared" si="16"/>
        <v>0</v>
      </c>
      <c r="R62" s="38"/>
      <c r="S62" s="39"/>
      <c r="T62" s="38" t="str">
        <f t="shared" si="22"/>
        <v>Aw</v>
      </c>
      <c r="U62" s="39">
        <f t="shared" si="12"/>
        <v>1</v>
      </c>
      <c r="V62" s="39">
        <f t="shared" si="13"/>
        <v>1</v>
      </c>
      <c r="W62" s="38" t="str">
        <f t="shared" si="20"/>
        <v>Toepasbaar</v>
      </c>
      <c r="X62" s="39">
        <f t="shared" si="17"/>
        <v>0</v>
      </c>
      <c r="Y62" s="38" t="str">
        <f t="shared" si="21"/>
        <v>Toepasbaar</v>
      </c>
      <c r="AA62" s="39">
        <f t="shared" si="6"/>
        <v>0</v>
      </c>
      <c r="AB62" s="38" t="str">
        <f t="shared" si="14"/>
        <v>Toepasbaar</v>
      </c>
      <c r="AC62" s="39">
        <f t="shared" si="15"/>
        <v>0</v>
      </c>
      <c r="AD62" s="17">
        <f t="shared" si="7"/>
        <v>6.9999999999999993E-2</v>
      </c>
      <c r="AE62" s="17">
        <f t="shared" si="8"/>
        <v>6.9999999999999993E-2</v>
      </c>
    </row>
    <row r="63" spans="1:31" ht="12" x14ac:dyDescent="0.15">
      <c r="A63" s="94" t="s">
        <v>39</v>
      </c>
      <c r="B63" s="69" t="s">
        <v>67</v>
      </c>
      <c r="C63" s="106" t="s">
        <v>154</v>
      </c>
      <c r="D63" s="137">
        <v>0.1</v>
      </c>
      <c r="E63" s="106" t="str">
        <f t="shared" si="1"/>
        <v>&lt;</v>
      </c>
      <c r="F63" s="106">
        <f t="shared" si="2"/>
        <v>0.1</v>
      </c>
      <c r="G63" s="21"/>
      <c r="H63" s="81">
        <f t="shared" si="9"/>
        <v>6.9999999999999993E-2</v>
      </c>
      <c r="I63" s="81">
        <f t="shared" si="10"/>
        <v>6.9999999999999993E-2</v>
      </c>
      <c r="J63" s="82">
        <f t="shared" si="0"/>
        <v>6.9999999999999993E-2</v>
      </c>
      <c r="L63" s="84">
        <f t="shared" si="3"/>
        <v>1</v>
      </c>
      <c r="N63" s="38"/>
      <c r="O63" s="39"/>
      <c r="P63" s="38"/>
      <c r="Q63" s="39">
        <f t="shared" si="16"/>
        <v>0</v>
      </c>
      <c r="R63" s="38"/>
      <c r="S63" s="39"/>
      <c r="T63" s="38" t="str">
        <f t="shared" si="22"/>
        <v>Aw</v>
      </c>
      <c r="U63" s="39">
        <f t="shared" si="12"/>
        <v>1</v>
      </c>
      <c r="V63" s="39">
        <f t="shared" si="13"/>
        <v>1</v>
      </c>
      <c r="W63" s="38" t="str">
        <f t="shared" si="20"/>
        <v>Toepasbaar</v>
      </c>
      <c r="X63" s="39">
        <f>IF(W63="Niet Toepasbaar",1,0)</f>
        <v>0</v>
      </c>
      <c r="Y63" s="38" t="str">
        <f t="shared" si="21"/>
        <v>Toepasbaar</v>
      </c>
      <c r="AA63" s="39">
        <f t="shared" si="6"/>
        <v>0</v>
      </c>
      <c r="AB63" s="38" t="str">
        <f t="shared" si="14"/>
        <v>Toepasbaar</v>
      </c>
      <c r="AC63" s="39">
        <f t="shared" si="15"/>
        <v>0</v>
      </c>
      <c r="AD63" s="17">
        <f t="shared" si="7"/>
        <v>6.9999999999999993E-2</v>
      </c>
      <c r="AE63" s="17">
        <f t="shared" si="8"/>
        <v>6.9999999999999993E-2</v>
      </c>
    </row>
    <row r="64" spans="1:31" ht="12" x14ac:dyDescent="0.15">
      <c r="A64" s="94" t="s">
        <v>36</v>
      </c>
      <c r="B64" s="114" t="s">
        <v>64</v>
      </c>
      <c r="C64" s="106" t="s">
        <v>154</v>
      </c>
      <c r="D64" s="137">
        <v>0.1</v>
      </c>
      <c r="E64" s="106" t="str">
        <f t="shared" si="1"/>
        <v>&lt;</v>
      </c>
      <c r="F64" s="106">
        <f t="shared" si="2"/>
        <v>0.1</v>
      </c>
      <c r="G64" s="21"/>
      <c r="H64" s="81">
        <f t="shared" si="9"/>
        <v>6.9999999999999993E-2</v>
      </c>
      <c r="I64" s="81">
        <f t="shared" si="10"/>
        <v>6.9999999999999993E-2</v>
      </c>
      <c r="J64" s="82">
        <f t="shared" si="0"/>
        <v>6.9999999999999993E-2</v>
      </c>
      <c r="L64" s="84">
        <f t="shared" si="3"/>
        <v>1</v>
      </c>
      <c r="N64" s="38"/>
      <c r="O64" s="39"/>
      <c r="P64" s="38"/>
      <c r="Q64" s="39">
        <f t="shared" si="16"/>
        <v>0</v>
      </c>
      <c r="R64" s="38"/>
      <c r="S64" s="39"/>
      <c r="T64" s="38" t="str">
        <f t="shared" si="22"/>
        <v>Aw</v>
      </c>
      <c r="U64" s="39">
        <f t="shared" si="12"/>
        <v>1</v>
      </c>
      <c r="V64" s="39">
        <f t="shared" si="13"/>
        <v>1</v>
      </c>
      <c r="W64" s="38" t="str">
        <f t="shared" si="20"/>
        <v>Toepasbaar</v>
      </c>
      <c r="X64" s="39">
        <f>IF(W64="Niet Toepasbaar",1,0)</f>
        <v>0</v>
      </c>
      <c r="Y64" s="38" t="str">
        <f t="shared" si="21"/>
        <v>Toepasbaar</v>
      </c>
      <c r="AA64" s="39">
        <f t="shared" si="6"/>
        <v>0</v>
      </c>
      <c r="AB64" s="38" t="str">
        <f t="shared" si="14"/>
        <v>Toepasbaar</v>
      </c>
      <c r="AC64" s="39">
        <f t="shared" si="15"/>
        <v>0</v>
      </c>
      <c r="AD64" s="17">
        <f t="shared" si="7"/>
        <v>6.9999999999999993E-2</v>
      </c>
      <c r="AE64" s="17">
        <f t="shared" si="8"/>
        <v>6.9999999999999993E-2</v>
      </c>
    </row>
    <row r="65" spans="1:31" ht="12" x14ac:dyDescent="0.15">
      <c r="A65" s="95" t="s">
        <v>183</v>
      </c>
      <c r="B65" s="69" t="s">
        <v>175</v>
      </c>
      <c r="C65" s="106" t="s">
        <v>154</v>
      </c>
      <c r="D65" s="139">
        <v>0.1</v>
      </c>
      <c r="E65" s="106" t="str">
        <f t="shared" si="1"/>
        <v>&lt;</v>
      </c>
      <c r="F65" s="139">
        <f t="shared" si="2"/>
        <v>0.1</v>
      </c>
      <c r="G65" s="21"/>
      <c r="H65" s="81">
        <f t="shared" ref="H65:H66" si="23">IF($AD$30&gt;=10,AD65*(10/$AD$30),AD65)</f>
        <v>6.9999999999999993E-2</v>
      </c>
      <c r="I65" s="81">
        <f t="shared" ref="I65:I66" si="24">IF($AE$30&gt;=10,AE65*(10/$AE$30),AE65)</f>
        <v>6.9999999999999993E-2</v>
      </c>
      <c r="J65" s="82">
        <f t="shared" ref="J65:J66" si="25">AVERAGE(H65:I65)</f>
        <v>6.9999999999999993E-2</v>
      </c>
      <c r="L65" s="84">
        <f t="shared" ref="L65:L66" si="26">IF(J65&lt;=0,0,(MAX(H65,I65)/MIN(H65,I65)))</f>
        <v>1</v>
      </c>
      <c r="O65" s="39">
        <f>IF(P65="W of I",1000,IF(P65="NT",100000,0))</f>
        <v>0</v>
      </c>
      <c r="P65" s="38" t="str">
        <f>IF(J65&lt;=$W$8,"L/N",IF(J65&lt;=$W$9,"W of I",IF(J65&gt;$W$10,"NT")))</f>
        <v>L/N</v>
      </c>
      <c r="Q65" s="39"/>
      <c r="R65" s="38"/>
      <c r="S65" s="39"/>
      <c r="T65" s="38"/>
      <c r="U65" s="39">
        <f t="shared" ref="U65:U66" si="27">IF(T65="L/N",38,IF(T65="Aw",1,IF(T65="W of I",1500,IF(T65="NT",100000,0))))</f>
        <v>0</v>
      </c>
      <c r="V65" s="39">
        <f t="shared" ref="V65:V66" si="28">IF(T65="L/N",38,IF(T65="Aw",1,IF(T65="W of I",1500,IF(T65="NT",100000,0))))</f>
        <v>0</v>
      </c>
      <c r="W65" s="38" t="str">
        <f t="shared" si="20"/>
        <v>Toepasbaar</v>
      </c>
      <c r="X65" s="39">
        <f>IF(W65="Niet Toepasbaar",1,0)</f>
        <v>0</v>
      </c>
      <c r="Y65" s="38" t="str">
        <f t="shared" si="21"/>
        <v>Toepasbaar</v>
      </c>
      <c r="AA65" s="39">
        <f t="shared" si="6"/>
        <v>0</v>
      </c>
      <c r="AB65" s="38" t="str">
        <f t="shared" si="14"/>
        <v>Toepasbaar</v>
      </c>
      <c r="AC65" s="39">
        <f t="shared" si="15"/>
        <v>0</v>
      </c>
      <c r="AD65" s="17">
        <f t="shared" ref="AD65:AD66" si="29">IF(C65="&lt;",0.7*D65,D65)</f>
        <v>6.9999999999999993E-2</v>
      </c>
      <c r="AE65" s="17">
        <f t="shared" ref="AE65:AE66" si="30">IF(E65="&lt;",0.7*F65,F65)</f>
        <v>6.9999999999999993E-2</v>
      </c>
    </row>
    <row r="66" spans="1:31" ht="12" x14ac:dyDescent="0.15">
      <c r="A66" s="95" t="s">
        <v>184</v>
      </c>
      <c r="B66" s="69" t="s">
        <v>40</v>
      </c>
      <c r="C66" s="106" t="s">
        <v>154</v>
      </c>
      <c r="D66" s="139">
        <v>0.1</v>
      </c>
      <c r="E66" s="106" t="str">
        <f t="shared" si="1"/>
        <v>&lt;</v>
      </c>
      <c r="F66" s="139">
        <f t="shared" si="2"/>
        <v>0.1</v>
      </c>
      <c r="G66" s="21"/>
      <c r="H66" s="81">
        <f t="shared" si="23"/>
        <v>6.9999999999999993E-2</v>
      </c>
      <c r="I66" s="81">
        <f t="shared" si="24"/>
        <v>6.9999999999999993E-2</v>
      </c>
      <c r="J66" s="82">
        <f t="shared" si="25"/>
        <v>6.9999999999999993E-2</v>
      </c>
      <c r="L66" s="84">
        <f t="shared" si="26"/>
        <v>1</v>
      </c>
      <c r="N66" s="38" t="str">
        <f>IF(J66&lt;=$T$8,"L/N",IF(J66&lt;=$T$9,"W of I",IF(J66&gt;$T$10,"NT")))</f>
        <v>L/N</v>
      </c>
      <c r="O66" s="39">
        <f t="shared" ref="O66" si="31">IF(N66="W of I",1000,IF(N66="NT",100000,0))</f>
        <v>0</v>
      </c>
      <c r="P66" s="38"/>
      <c r="Q66" s="39"/>
      <c r="R66" s="38"/>
      <c r="S66" s="39"/>
      <c r="T66" s="38"/>
      <c r="U66" s="39">
        <f t="shared" si="27"/>
        <v>0</v>
      </c>
      <c r="V66" s="39">
        <f t="shared" si="28"/>
        <v>0</v>
      </c>
      <c r="W66" s="38" t="str">
        <f>IF(J66&gt;$C$103,"Niet Toepasbaar","Toepasbaar")</f>
        <v>Toepasbaar</v>
      </c>
      <c r="X66" s="39">
        <f>IF(W66="Niet Toepasbaar",1,0)</f>
        <v>0</v>
      </c>
      <c r="Y66" s="38" t="str">
        <f>IF(J66&gt;$C$104,"Niet Toepasbaar","Toepasbaar")</f>
        <v>Toepasbaar</v>
      </c>
      <c r="AA66" s="39">
        <f t="shared" si="6"/>
        <v>0</v>
      </c>
      <c r="AB66" s="38" t="str">
        <f t="shared" si="14"/>
        <v>Toepasbaar</v>
      </c>
      <c r="AC66" s="39">
        <f t="shared" si="15"/>
        <v>0</v>
      </c>
      <c r="AD66" s="17">
        <f t="shared" si="29"/>
        <v>6.9999999999999993E-2</v>
      </c>
      <c r="AE66" s="17">
        <f t="shared" si="30"/>
        <v>6.9999999999999993E-2</v>
      </c>
    </row>
    <row r="67" spans="1:31" ht="12" x14ac:dyDescent="0.15">
      <c r="A67" s="94" t="str">
        <f>IF(C13=38,"7H-Perfluorheptaanzuur (HPFHpa)","")</f>
        <v/>
      </c>
      <c r="B67" s="69" t="s">
        <v>169</v>
      </c>
      <c r="C67" s="106" t="str">
        <f>IF($C$13=38,"&lt;","")</f>
        <v/>
      </c>
      <c r="D67" s="140">
        <f t="shared" ref="D67:D76" si="32">IF($C$13=38,0.1,0)</f>
        <v>0</v>
      </c>
      <c r="E67" s="106" t="str">
        <f t="shared" si="1"/>
        <v/>
      </c>
      <c r="F67" s="106">
        <f t="shared" si="2"/>
        <v>0</v>
      </c>
      <c r="G67" s="21"/>
      <c r="H67" s="81">
        <f t="shared" ref="H67:H76" si="33">IF($AD$30&gt;=10,AD67*(10/$AD$30),AD67)</f>
        <v>0</v>
      </c>
      <c r="I67" s="81">
        <f t="shared" ref="I67:I76" si="34">IF($AE$30&gt;=10,AE67*(10/$AE$30),AE67)</f>
        <v>0</v>
      </c>
      <c r="J67" s="82">
        <f t="shared" ref="J67:J76" si="35">AVERAGE(H67:I67)</f>
        <v>0</v>
      </c>
      <c r="L67" s="84">
        <f t="shared" ref="L67:L76" si="36">IF(J67&lt;=0,0,(MAX(H67,I67)/MIN(H67,I67)))</f>
        <v>0</v>
      </c>
      <c r="N67" s="38"/>
      <c r="O67" s="39"/>
      <c r="P67" s="38"/>
      <c r="Q67" s="39">
        <f t="shared" ref="Q67:Q76" si="37">IF(P67="W of I",1000,IF(P67="NT",100000,0))</f>
        <v>0</v>
      </c>
      <c r="R67" s="38"/>
      <c r="S67" s="39"/>
      <c r="T67" s="38" t="str">
        <f t="shared" si="22"/>
        <v>Aw</v>
      </c>
      <c r="U67" s="39">
        <f t="shared" si="12"/>
        <v>1</v>
      </c>
      <c r="V67" s="39">
        <f t="shared" si="13"/>
        <v>1</v>
      </c>
      <c r="W67" s="38" t="str">
        <f t="shared" ref="W67:W76" si="38">IF(J67&gt;$F$103,"Niet Toepasbaar","Toepasbaar")</f>
        <v>Toepasbaar</v>
      </c>
      <c r="X67" s="39">
        <f t="shared" ref="X67:X76" si="39">IF(W67="Niet Toepasbaar",1,0)</f>
        <v>0</v>
      </c>
      <c r="Y67" s="38" t="str">
        <f t="shared" ref="Y67:Y76" si="40">IF(J67&gt;$F$104,"Niet Toepasbaar","Toepasbaar")</f>
        <v>Toepasbaar</v>
      </c>
      <c r="AA67" s="39">
        <f t="shared" si="6"/>
        <v>0</v>
      </c>
      <c r="AB67" s="38" t="str">
        <f t="shared" si="14"/>
        <v>Toepasbaar</v>
      </c>
      <c r="AC67" s="39">
        <f t="shared" si="15"/>
        <v>0</v>
      </c>
      <c r="AD67" s="17">
        <f t="shared" ref="AD67:AD76" si="41">IF(C67="&lt;",0.7*D67,D67)</f>
        <v>0</v>
      </c>
      <c r="AE67" s="17">
        <f t="shared" ref="AE67:AE76" si="42">IF(E67="&lt;",0.7*F67,F67)</f>
        <v>0</v>
      </c>
    </row>
    <row r="68" spans="1:31" ht="12" x14ac:dyDescent="0.15">
      <c r="A68" s="94" t="str">
        <f>IF(C13=38,"2H,2H,3H,3H-perfluorundecaanzuur","")</f>
        <v/>
      </c>
      <c r="B68" s="69"/>
      <c r="C68" s="106" t="str">
        <f t="shared" ref="C68:C76" si="43">IF($C$13=38,"&lt;","")</f>
        <v/>
      </c>
      <c r="D68" s="140">
        <f t="shared" si="32"/>
        <v>0</v>
      </c>
      <c r="E68" s="106" t="str">
        <f t="shared" si="1"/>
        <v/>
      </c>
      <c r="F68" s="106">
        <f t="shared" si="2"/>
        <v>0</v>
      </c>
      <c r="G68" s="21"/>
      <c r="H68" s="81">
        <f t="shared" si="33"/>
        <v>0</v>
      </c>
      <c r="I68" s="81">
        <f t="shared" si="34"/>
        <v>0</v>
      </c>
      <c r="J68" s="82">
        <f t="shared" si="35"/>
        <v>0</v>
      </c>
      <c r="L68" s="84">
        <f t="shared" si="36"/>
        <v>0</v>
      </c>
      <c r="N68" s="38"/>
      <c r="O68" s="39"/>
      <c r="P68" s="38"/>
      <c r="Q68" s="39">
        <f t="shared" si="37"/>
        <v>0</v>
      </c>
      <c r="R68" s="38"/>
      <c r="S68" s="39"/>
      <c r="T68" s="38" t="str">
        <f t="shared" si="22"/>
        <v>Aw</v>
      </c>
      <c r="U68" s="39">
        <f t="shared" si="12"/>
        <v>1</v>
      </c>
      <c r="V68" s="39">
        <f t="shared" si="13"/>
        <v>1</v>
      </c>
      <c r="W68" s="38" t="str">
        <f t="shared" si="38"/>
        <v>Toepasbaar</v>
      </c>
      <c r="X68" s="39">
        <f t="shared" si="39"/>
        <v>0</v>
      </c>
      <c r="Y68" s="38" t="str">
        <f t="shared" si="40"/>
        <v>Toepasbaar</v>
      </c>
      <c r="AA68" s="39">
        <f t="shared" si="6"/>
        <v>0</v>
      </c>
      <c r="AB68" s="38" t="str">
        <f t="shared" si="14"/>
        <v>Toepasbaar</v>
      </c>
      <c r="AC68" s="39">
        <f t="shared" si="15"/>
        <v>0</v>
      </c>
      <c r="AD68" s="17">
        <f t="shared" si="41"/>
        <v>0</v>
      </c>
      <c r="AE68" s="17">
        <f t="shared" si="42"/>
        <v>0</v>
      </c>
    </row>
    <row r="69" spans="1:31" ht="12" x14ac:dyDescent="0.15">
      <c r="A69" s="94" t="str">
        <f>IF(C13=38,"8:2 Fluortelomeer onverzadigd carbonzuur","")</f>
        <v/>
      </c>
      <c r="B69" s="69"/>
      <c r="C69" s="106" t="str">
        <f t="shared" si="43"/>
        <v/>
      </c>
      <c r="D69" s="140">
        <f t="shared" si="32"/>
        <v>0</v>
      </c>
      <c r="E69" s="106" t="str">
        <f t="shared" si="1"/>
        <v/>
      </c>
      <c r="F69" s="106">
        <f t="shared" si="2"/>
        <v>0</v>
      </c>
      <c r="G69" s="21"/>
      <c r="H69" s="81">
        <f t="shared" si="33"/>
        <v>0</v>
      </c>
      <c r="I69" s="81">
        <f t="shared" si="34"/>
        <v>0</v>
      </c>
      <c r="J69" s="82">
        <f t="shared" si="35"/>
        <v>0</v>
      </c>
      <c r="L69" s="84">
        <f t="shared" si="36"/>
        <v>0</v>
      </c>
      <c r="N69" s="38"/>
      <c r="O69" s="39"/>
      <c r="P69" s="38"/>
      <c r="Q69" s="39">
        <f t="shared" si="37"/>
        <v>0</v>
      </c>
      <c r="R69" s="38"/>
      <c r="S69" s="39"/>
      <c r="T69" s="38" t="str">
        <f t="shared" si="22"/>
        <v>Aw</v>
      </c>
      <c r="U69" s="39">
        <f t="shared" si="12"/>
        <v>1</v>
      </c>
      <c r="V69" s="39">
        <f t="shared" si="13"/>
        <v>1</v>
      </c>
      <c r="W69" s="38" t="str">
        <f t="shared" si="38"/>
        <v>Toepasbaar</v>
      </c>
      <c r="X69" s="39">
        <f t="shared" si="39"/>
        <v>0</v>
      </c>
      <c r="Y69" s="38" t="str">
        <f t="shared" si="40"/>
        <v>Toepasbaar</v>
      </c>
      <c r="AA69" s="39">
        <f t="shared" si="6"/>
        <v>0</v>
      </c>
      <c r="AB69" s="38" t="str">
        <f t="shared" si="14"/>
        <v>Toepasbaar</v>
      </c>
      <c r="AC69" s="39">
        <f t="shared" si="15"/>
        <v>0</v>
      </c>
      <c r="AD69" s="17">
        <f t="shared" si="41"/>
        <v>0</v>
      </c>
      <c r="AE69" s="17">
        <f t="shared" si="42"/>
        <v>0</v>
      </c>
    </row>
    <row r="70" spans="1:31" ht="12" x14ac:dyDescent="0.15">
      <c r="A70" s="94" t="str">
        <f>IF(C13=38,"F53B (9Cl-PF3ONS)","")</f>
        <v/>
      </c>
      <c r="B70" s="69" t="s">
        <v>170</v>
      </c>
      <c r="C70" s="106" t="str">
        <f t="shared" si="43"/>
        <v/>
      </c>
      <c r="D70" s="140">
        <f t="shared" si="32"/>
        <v>0</v>
      </c>
      <c r="E70" s="106" t="str">
        <f t="shared" si="1"/>
        <v/>
      </c>
      <c r="F70" s="106">
        <f t="shared" si="2"/>
        <v>0</v>
      </c>
      <c r="G70" s="21"/>
      <c r="H70" s="81">
        <f t="shared" si="33"/>
        <v>0</v>
      </c>
      <c r="I70" s="81">
        <f t="shared" si="34"/>
        <v>0</v>
      </c>
      <c r="J70" s="82">
        <f t="shared" si="35"/>
        <v>0</v>
      </c>
      <c r="L70" s="84">
        <f t="shared" si="36"/>
        <v>0</v>
      </c>
      <c r="N70" s="38"/>
      <c r="O70" s="39"/>
      <c r="P70" s="38"/>
      <c r="Q70" s="39">
        <f t="shared" si="37"/>
        <v>0</v>
      </c>
      <c r="R70" s="38"/>
      <c r="S70" s="39"/>
      <c r="T70" s="38" t="str">
        <f t="shared" si="22"/>
        <v>Aw</v>
      </c>
      <c r="U70" s="39">
        <f t="shared" si="12"/>
        <v>1</v>
      </c>
      <c r="V70" s="39">
        <f t="shared" si="13"/>
        <v>1</v>
      </c>
      <c r="W70" s="38" t="str">
        <f t="shared" si="38"/>
        <v>Toepasbaar</v>
      </c>
      <c r="X70" s="39">
        <f t="shared" si="39"/>
        <v>0</v>
      </c>
      <c r="Y70" s="38" t="str">
        <f t="shared" si="40"/>
        <v>Toepasbaar</v>
      </c>
      <c r="AA70" s="39">
        <f t="shared" si="6"/>
        <v>0</v>
      </c>
      <c r="AB70" s="38" t="str">
        <f t="shared" si="14"/>
        <v>Toepasbaar</v>
      </c>
      <c r="AC70" s="39">
        <f t="shared" si="15"/>
        <v>0</v>
      </c>
      <c r="AD70" s="17">
        <f t="shared" si="41"/>
        <v>0</v>
      </c>
      <c r="AE70" s="17">
        <f t="shared" si="42"/>
        <v>0</v>
      </c>
    </row>
    <row r="71" spans="1:31" ht="12" x14ac:dyDescent="0.15">
      <c r="A71" s="94" t="str">
        <f>IF(C13=38,"ADONA","")</f>
        <v/>
      </c>
      <c r="B71" s="69"/>
      <c r="C71" s="106" t="str">
        <f t="shared" si="43"/>
        <v/>
      </c>
      <c r="D71" s="140">
        <f t="shared" si="32"/>
        <v>0</v>
      </c>
      <c r="E71" s="106" t="str">
        <f t="shared" si="1"/>
        <v/>
      </c>
      <c r="F71" s="106">
        <f t="shared" si="2"/>
        <v>0</v>
      </c>
      <c r="G71" s="21"/>
      <c r="H71" s="81">
        <f t="shared" si="33"/>
        <v>0</v>
      </c>
      <c r="I71" s="81">
        <f t="shared" si="34"/>
        <v>0</v>
      </c>
      <c r="J71" s="82">
        <f t="shared" si="35"/>
        <v>0</v>
      </c>
      <c r="L71" s="84">
        <f t="shared" si="36"/>
        <v>0</v>
      </c>
      <c r="N71" s="38"/>
      <c r="O71" s="39"/>
      <c r="P71" s="38"/>
      <c r="Q71" s="39">
        <f t="shared" si="37"/>
        <v>0</v>
      </c>
      <c r="R71" s="38"/>
      <c r="S71" s="39"/>
      <c r="T71" s="38" t="str">
        <f t="shared" si="22"/>
        <v>Aw</v>
      </c>
      <c r="U71" s="39">
        <f t="shared" si="12"/>
        <v>1</v>
      </c>
      <c r="V71" s="39">
        <f t="shared" si="13"/>
        <v>1</v>
      </c>
      <c r="W71" s="38" t="str">
        <f t="shared" si="38"/>
        <v>Toepasbaar</v>
      </c>
      <c r="X71" s="39">
        <f t="shared" si="39"/>
        <v>0</v>
      </c>
      <c r="Y71" s="38" t="str">
        <f t="shared" si="40"/>
        <v>Toepasbaar</v>
      </c>
      <c r="AA71" s="39">
        <f t="shared" si="6"/>
        <v>0</v>
      </c>
      <c r="AB71" s="38" t="str">
        <f t="shared" si="14"/>
        <v>Toepasbaar</v>
      </c>
      <c r="AC71" s="39">
        <f t="shared" si="15"/>
        <v>0</v>
      </c>
      <c r="AD71" s="17">
        <f t="shared" si="41"/>
        <v>0</v>
      </c>
      <c r="AE71" s="17">
        <f t="shared" si="42"/>
        <v>0</v>
      </c>
    </row>
    <row r="72" spans="1:31" ht="12" x14ac:dyDescent="0.15">
      <c r="A72" s="94" t="str">
        <f>IF(C13=38,"N-Ethyl perfluoroctaansulfonamide (EtFOSA)","")</f>
        <v/>
      </c>
      <c r="B72" s="69" t="s">
        <v>171</v>
      </c>
      <c r="C72" s="106" t="str">
        <f t="shared" si="43"/>
        <v/>
      </c>
      <c r="D72" s="140">
        <f t="shared" si="32"/>
        <v>0</v>
      </c>
      <c r="E72" s="106" t="str">
        <f t="shared" si="1"/>
        <v/>
      </c>
      <c r="F72" s="106">
        <f t="shared" si="2"/>
        <v>0</v>
      </c>
      <c r="G72" s="21"/>
      <c r="H72" s="81">
        <f t="shared" si="33"/>
        <v>0</v>
      </c>
      <c r="I72" s="81">
        <f t="shared" si="34"/>
        <v>0</v>
      </c>
      <c r="J72" s="82">
        <f t="shared" si="35"/>
        <v>0</v>
      </c>
      <c r="L72" s="84">
        <f t="shared" si="36"/>
        <v>0</v>
      </c>
      <c r="N72" s="38"/>
      <c r="O72" s="39"/>
      <c r="P72" s="38"/>
      <c r="Q72" s="39">
        <f t="shared" si="37"/>
        <v>0</v>
      </c>
      <c r="R72" s="38"/>
      <c r="S72" s="39"/>
      <c r="T72" s="38" t="str">
        <f t="shared" si="22"/>
        <v>Aw</v>
      </c>
      <c r="U72" s="39">
        <f t="shared" si="12"/>
        <v>1</v>
      </c>
      <c r="V72" s="39">
        <f t="shared" si="13"/>
        <v>1</v>
      </c>
      <c r="W72" s="38" t="str">
        <f t="shared" si="38"/>
        <v>Toepasbaar</v>
      </c>
      <c r="X72" s="39">
        <f t="shared" si="39"/>
        <v>0</v>
      </c>
      <c r="Y72" s="38" t="str">
        <f t="shared" si="40"/>
        <v>Toepasbaar</v>
      </c>
      <c r="AA72" s="39">
        <f t="shared" si="6"/>
        <v>0</v>
      </c>
      <c r="AB72" s="38" t="str">
        <f t="shared" si="14"/>
        <v>Toepasbaar</v>
      </c>
      <c r="AC72" s="39">
        <f t="shared" si="15"/>
        <v>0</v>
      </c>
      <c r="AD72" s="17">
        <f t="shared" si="41"/>
        <v>0</v>
      </c>
      <c r="AE72" s="17">
        <f t="shared" si="42"/>
        <v>0</v>
      </c>
    </row>
    <row r="73" spans="1:31" ht="12" x14ac:dyDescent="0.15">
      <c r="A73" s="94" t="str">
        <f>IF(C13=38,"N-methylperfluorbutaansulfonylamide (MeFBSA)","")</f>
        <v/>
      </c>
      <c r="B73" s="69" t="s">
        <v>172</v>
      </c>
      <c r="C73" s="106" t="str">
        <f t="shared" si="43"/>
        <v/>
      </c>
      <c r="D73" s="140">
        <f t="shared" si="32"/>
        <v>0</v>
      </c>
      <c r="E73" s="106" t="str">
        <f t="shared" si="1"/>
        <v/>
      </c>
      <c r="F73" s="106">
        <f t="shared" si="2"/>
        <v>0</v>
      </c>
      <c r="G73" s="21"/>
      <c r="H73" s="81">
        <f t="shared" si="33"/>
        <v>0</v>
      </c>
      <c r="I73" s="81">
        <f t="shared" si="34"/>
        <v>0</v>
      </c>
      <c r="J73" s="82">
        <f t="shared" si="35"/>
        <v>0</v>
      </c>
      <c r="L73" s="84">
        <f t="shared" si="36"/>
        <v>0</v>
      </c>
      <c r="N73" s="38"/>
      <c r="O73" s="39"/>
      <c r="P73" s="38"/>
      <c r="Q73" s="39">
        <f t="shared" si="37"/>
        <v>0</v>
      </c>
      <c r="R73" s="38"/>
      <c r="S73" s="39"/>
      <c r="T73" s="38" t="str">
        <f t="shared" si="22"/>
        <v>Aw</v>
      </c>
      <c r="U73" s="39">
        <f t="shared" si="12"/>
        <v>1</v>
      </c>
      <c r="V73" s="39">
        <f t="shared" si="13"/>
        <v>1</v>
      </c>
      <c r="W73" s="38" t="str">
        <f t="shared" si="38"/>
        <v>Toepasbaar</v>
      </c>
      <c r="X73" s="39">
        <f t="shared" si="39"/>
        <v>0</v>
      </c>
      <c r="Y73" s="38" t="str">
        <f t="shared" si="40"/>
        <v>Toepasbaar</v>
      </c>
      <c r="AA73" s="39">
        <f t="shared" si="6"/>
        <v>0</v>
      </c>
      <c r="AB73" s="38" t="str">
        <f t="shared" si="14"/>
        <v>Toepasbaar</v>
      </c>
      <c r="AC73" s="39">
        <f t="shared" si="15"/>
        <v>0</v>
      </c>
      <c r="AD73" s="17">
        <f t="shared" si="41"/>
        <v>0</v>
      </c>
      <c r="AE73" s="17">
        <f t="shared" si="42"/>
        <v>0</v>
      </c>
    </row>
    <row r="74" spans="1:31" ht="12" x14ac:dyDescent="0.15">
      <c r="A74" s="94" t="str">
        <f>IF(C13=38,"Perfluor-3,7-dimethyloctaanzuur","")</f>
        <v/>
      </c>
      <c r="B74" s="69"/>
      <c r="C74" s="106" t="str">
        <f t="shared" si="43"/>
        <v/>
      </c>
      <c r="D74" s="140">
        <f t="shared" si="32"/>
        <v>0</v>
      </c>
      <c r="E74" s="106" t="str">
        <f t="shared" si="1"/>
        <v/>
      </c>
      <c r="F74" s="106">
        <f t="shared" si="2"/>
        <v>0</v>
      </c>
      <c r="G74" s="21"/>
      <c r="H74" s="81">
        <f t="shared" si="33"/>
        <v>0</v>
      </c>
      <c r="I74" s="81">
        <f t="shared" si="34"/>
        <v>0</v>
      </c>
      <c r="J74" s="82">
        <f t="shared" si="35"/>
        <v>0</v>
      </c>
      <c r="L74" s="84">
        <f t="shared" si="36"/>
        <v>0</v>
      </c>
      <c r="N74" s="38"/>
      <c r="O74" s="39"/>
      <c r="P74" s="38"/>
      <c r="Q74" s="39">
        <f t="shared" si="37"/>
        <v>0</v>
      </c>
      <c r="R74" s="38"/>
      <c r="S74" s="39"/>
      <c r="T74" s="38" t="str">
        <f t="shared" si="22"/>
        <v>Aw</v>
      </c>
      <c r="U74" s="39">
        <f t="shared" si="12"/>
        <v>1</v>
      </c>
      <c r="V74" s="39">
        <f t="shared" si="13"/>
        <v>1</v>
      </c>
      <c r="W74" s="38" t="str">
        <f t="shared" si="38"/>
        <v>Toepasbaar</v>
      </c>
      <c r="X74" s="39">
        <f t="shared" si="39"/>
        <v>0</v>
      </c>
      <c r="Y74" s="38" t="str">
        <f t="shared" si="40"/>
        <v>Toepasbaar</v>
      </c>
      <c r="AA74" s="39">
        <f t="shared" si="6"/>
        <v>0</v>
      </c>
      <c r="AB74" s="38" t="str">
        <f t="shared" si="14"/>
        <v>Toepasbaar</v>
      </c>
      <c r="AC74" s="39">
        <f t="shared" si="15"/>
        <v>0</v>
      </c>
      <c r="AD74" s="17">
        <f t="shared" si="41"/>
        <v>0</v>
      </c>
      <c r="AE74" s="17">
        <f t="shared" si="42"/>
        <v>0</v>
      </c>
    </row>
    <row r="75" spans="1:31" ht="12" x14ac:dyDescent="0.15">
      <c r="A75" s="94" t="str">
        <f>IF(C13=38,"Perfluorbutaan sulfonamide (PFBSA)","")</f>
        <v/>
      </c>
      <c r="B75" s="69" t="s">
        <v>173</v>
      </c>
      <c r="C75" s="106" t="str">
        <f t="shared" si="43"/>
        <v/>
      </c>
      <c r="D75" s="140">
        <f t="shared" si="32"/>
        <v>0</v>
      </c>
      <c r="E75" s="106" t="str">
        <f t="shared" si="1"/>
        <v/>
      </c>
      <c r="F75" s="106">
        <f t="shared" si="2"/>
        <v>0</v>
      </c>
      <c r="G75" s="21"/>
      <c r="H75" s="81">
        <f t="shared" si="33"/>
        <v>0</v>
      </c>
      <c r="I75" s="81">
        <f t="shared" si="34"/>
        <v>0</v>
      </c>
      <c r="J75" s="82">
        <f t="shared" si="35"/>
        <v>0</v>
      </c>
      <c r="L75" s="84">
        <f t="shared" si="36"/>
        <v>0</v>
      </c>
      <c r="N75" s="38"/>
      <c r="O75" s="39"/>
      <c r="P75" s="38"/>
      <c r="Q75" s="39">
        <f t="shared" si="37"/>
        <v>0</v>
      </c>
      <c r="R75" s="38"/>
      <c r="S75" s="39"/>
      <c r="T75" s="38" t="str">
        <f t="shared" si="22"/>
        <v>Aw</v>
      </c>
      <c r="U75" s="39">
        <f t="shared" si="12"/>
        <v>1</v>
      </c>
      <c r="V75" s="39">
        <f t="shared" si="13"/>
        <v>1</v>
      </c>
      <c r="W75" s="38" t="str">
        <f t="shared" si="38"/>
        <v>Toepasbaar</v>
      </c>
      <c r="X75" s="39">
        <f t="shared" si="39"/>
        <v>0</v>
      </c>
      <c r="Y75" s="38" t="str">
        <f t="shared" si="40"/>
        <v>Toepasbaar</v>
      </c>
      <c r="AA75" s="39">
        <f t="shared" si="6"/>
        <v>0</v>
      </c>
      <c r="AB75" s="38" t="str">
        <f t="shared" si="14"/>
        <v>Toepasbaar</v>
      </c>
      <c r="AC75" s="39">
        <f t="shared" si="15"/>
        <v>0</v>
      </c>
      <c r="AD75" s="17">
        <f t="shared" si="41"/>
        <v>0</v>
      </c>
      <c r="AE75" s="17">
        <f t="shared" si="42"/>
        <v>0</v>
      </c>
    </row>
    <row r="76" spans="1:31" ht="12" x14ac:dyDescent="0.15">
      <c r="A76" s="94" t="str">
        <f>IF(C13=38,"N-methylperfluorbutaansulfonylamide acetaat (MeFB)","")</f>
        <v/>
      </c>
      <c r="B76" s="69" t="s">
        <v>178</v>
      </c>
      <c r="C76" s="106" t="str">
        <f t="shared" si="43"/>
        <v/>
      </c>
      <c r="D76" s="140">
        <f t="shared" si="32"/>
        <v>0</v>
      </c>
      <c r="E76" s="106" t="str">
        <f t="shared" si="1"/>
        <v/>
      </c>
      <c r="F76" s="106">
        <f t="shared" si="2"/>
        <v>0</v>
      </c>
      <c r="G76" s="21"/>
      <c r="H76" s="81">
        <f t="shared" si="33"/>
        <v>0</v>
      </c>
      <c r="I76" s="81">
        <f t="shared" si="34"/>
        <v>0</v>
      </c>
      <c r="J76" s="82">
        <f t="shared" si="35"/>
        <v>0</v>
      </c>
      <c r="L76" s="84">
        <f t="shared" si="36"/>
        <v>0</v>
      </c>
      <c r="N76" s="38"/>
      <c r="O76" s="39"/>
      <c r="P76" s="38"/>
      <c r="Q76" s="39">
        <f t="shared" si="37"/>
        <v>0</v>
      </c>
      <c r="R76" s="38"/>
      <c r="S76" s="39"/>
      <c r="T76" s="38" t="str">
        <f t="shared" si="22"/>
        <v>Aw</v>
      </c>
      <c r="U76" s="39">
        <f t="shared" si="12"/>
        <v>1</v>
      </c>
      <c r="V76" s="39">
        <f t="shared" si="13"/>
        <v>1</v>
      </c>
      <c r="W76" s="38" t="str">
        <f t="shared" si="38"/>
        <v>Toepasbaar</v>
      </c>
      <c r="X76" s="39">
        <f t="shared" si="39"/>
        <v>0</v>
      </c>
      <c r="Y76" s="38" t="str">
        <f t="shared" si="40"/>
        <v>Toepasbaar</v>
      </c>
      <c r="AA76" s="39">
        <f t="shared" si="6"/>
        <v>0</v>
      </c>
      <c r="AB76" s="38" t="str">
        <f t="shared" si="14"/>
        <v>Toepasbaar</v>
      </c>
      <c r="AC76" s="39">
        <f t="shared" si="15"/>
        <v>0</v>
      </c>
      <c r="AD76" s="17">
        <f t="shared" si="41"/>
        <v>0</v>
      </c>
      <c r="AE76" s="17">
        <f t="shared" si="42"/>
        <v>0</v>
      </c>
    </row>
    <row r="77" spans="1:31" ht="12" x14ac:dyDescent="0.15">
      <c r="A77" s="96" t="s">
        <v>72</v>
      </c>
      <c r="B77" s="15"/>
      <c r="C77" s="106"/>
      <c r="D77" s="140"/>
      <c r="E77" s="106">
        <f t="shared" si="1"/>
        <v>0</v>
      </c>
      <c r="F77" s="106">
        <f t="shared" si="2"/>
        <v>0</v>
      </c>
      <c r="G77" s="21"/>
      <c r="H77" s="81">
        <f t="shared" si="9"/>
        <v>0</v>
      </c>
      <c r="I77" s="81">
        <f t="shared" si="10"/>
        <v>0</v>
      </c>
      <c r="J77" s="82">
        <f t="shared" si="0"/>
        <v>0</v>
      </c>
      <c r="L77" s="84">
        <f t="shared" si="3"/>
        <v>0</v>
      </c>
      <c r="N77" s="38"/>
      <c r="O77" s="39"/>
      <c r="P77" s="38"/>
      <c r="Q77" s="39"/>
      <c r="R77" s="38" t="str">
        <f>IF(J77=0,"-",IF(AND(J77&gt;0,J77&lt;=0.1),"L/N",IF(J77&lt;=3,"W of I",IF(J77&gt;3,"NT"))))</f>
        <v>-</v>
      </c>
      <c r="S77" s="39"/>
      <c r="T77" s="38" t="str">
        <f>IF(J77=0,"-",IF(J77&lt;=$AB$11,"Aw",IF(J77&lt;=$AB$8,"L/N",IF(J77&lt;=$AB$9,"W of I",IF(J77&gt;$AB$10,"NT")))))</f>
        <v>-</v>
      </c>
      <c r="U77" s="39">
        <f t="shared" ref="U77" si="44">IF(T77="Aw",1,IF(T77="W of I",1000,IF(T77="NT",100000,0)))</f>
        <v>0</v>
      </c>
      <c r="V77" s="39"/>
      <c r="W77" s="38" t="str">
        <f>IF(J77=0,"-",(IF(J77&gt;$E$103,"Niet Toepasbaar","Toepasbaar")))</f>
        <v>-</v>
      </c>
      <c r="X77" s="39">
        <f t="shared" si="17"/>
        <v>0</v>
      </c>
      <c r="Y77" s="38" t="str">
        <f>IF(J77=0,"-",(IF(J77&gt;$E$104,"Niet Toepasbaar","Toepasbaar")))</f>
        <v>-</v>
      </c>
      <c r="AA77" s="39">
        <f t="shared" si="6"/>
        <v>0</v>
      </c>
      <c r="AB77" s="38" t="str">
        <f>IF(J77=0,"-",(IF(J77&gt;$E$101,"Niet Toepasbaar","Toepasbaar")))</f>
        <v>-</v>
      </c>
      <c r="AC77" s="39">
        <f t="shared" ref="AC77" si="45">IF(AB77="Niet Toepasbaar",1,0)</f>
        <v>0</v>
      </c>
      <c r="AD77" s="21">
        <f>IF(C77="&lt;",0.7*D77,IF(D77="",0,D77))</f>
        <v>0</v>
      </c>
      <c r="AE77" s="21">
        <f>IF(E77="&lt;",0.7*F77,IF(F77="",0,F77))</f>
        <v>0</v>
      </c>
    </row>
    <row r="78" spans="1:31" x14ac:dyDescent="0.15">
      <c r="A78" s="16"/>
      <c r="B78" s="15"/>
      <c r="C78" s="67"/>
      <c r="D78" s="67"/>
      <c r="E78" s="67"/>
      <c r="F78" s="67"/>
      <c r="G78" s="67"/>
      <c r="H78" s="21"/>
      <c r="I78" s="35"/>
      <c r="J78" s="35"/>
      <c r="K78" s="37"/>
      <c r="L78" s="37"/>
      <c r="M78" s="54"/>
      <c r="N78" s="38"/>
      <c r="O78" s="38"/>
      <c r="P78" s="38"/>
      <c r="Q78" s="38"/>
      <c r="R78" s="38"/>
      <c r="S78" s="39"/>
      <c r="T78" s="38"/>
      <c r="U78" s="39"/>
      <c r="V78" s="39"/>
      <c r="W78" s="38"/>
      <c r="X78" s="39"/>
      <c r="Y78" s="40"/>
      <c r="AA78" s="40"/>
      <c r="AB78" s="40"/>
      <c r="AC78" s="40"/>
    </row>
    <row r="79" spans="1:31" ht="12" customHeight="1" x14ac:dyDescent="0.15">
      <c r="A79" s="88" t="s">
        <v>146</v>
      </c>
      <c r="B79" s="89"/>
      <c r="C79" s="90"/>
      <c r="D79" s="90"/>
      <c r="E79" s="101" t="s">
        <v>162</v>
      </c>
      <c r="O79" s="42">
        <f>SUM(O35:O77)</f>
        <v>0</v>
      </c>
      <c r="Q79" s="42">
        <f>SUM(Q35:Q77)</f>
        <v>0</v>
      </c>
      <c r="S79" s="42">
        <f>SUM(S35:S77)</f>
        <v>0</v>
      </c>
      <c r="U79" s="42">
        <f>SUM(U35:U77)</f>
        <v>36</v>
      </c>
      <c r="V79" s="42">
        <f>SUM(V35:V77)</f>
        <v>36</v>
      </c>
      <c r="X79" s="123">
        <f>SUM(X35:X77)</f>
        <v>0</v>
      </c>
      <c r="AA79" s="123">
        <f>SUM(AA35:AA77)</f>
        <v>0</v>
      </c>
      <c r="AC79" s="123">
        <f>SUM(AC35:AC77)</f>
        <v>0</v>
      </c>
    </row>
    <row r="80" spans="1:31" ht="12" customHeight="1" x14ac:dyDescent="0.15">
      <c r="A80" s="91" t="s">
        <v>181</v>
      </c>
      <c r="B80" s="89"/>
      <c r="C80" s="92">
        <f>J66</f>
        <v>6.9999999999999993E-2</v>
      </c>
      <c r="D80" s="90"/>
      <c r="E80" s="38" t="str">
        <f>IF(C80&lt;=T8,"L/N",IF(C80&lt;T11,"Aw",IF(C80&lt;=T9,"W of I",IF(C80&gt;T10,"NT"))))</f>
        <v>L/N</v>
      </c>
      <c r="G80" s="38"/>
      <c r="I80" s="14"/>
      <c r="J80" s="14"/>
      <c r="K80" s="14"/>
      <c r="L80" s="14"/>
      <c r="M80" s="14"/>
      <c r="N80" s="14"/>
      <c r="X80" s="14"/>
      <c r="Y80" s="14"/>
      <c r="Z80" s="14"/>
      <c r="AA80" s="14"/>
      <c r="AB80" s="14"/>
      <c r="AC80" s="14"/>
    </row>
    <row r="81" spans="1:29" ht="12" customHeight="1" x14ac:dyDescent="0.15">
      <c r="A81" s="91" t="s">
        <v>182</v>
      </c>
      <c r="B81" s="89"/>
      <c r="C81" s="92">
        <f>J65</f>
        <v>6.9999999999999993E-2</v>
      </c>
      <c r="D81" s="90"/>
      <c r="E81" s="38" t="str">
        <f>IF(C81&lt;W11,"Aw",IF(C81&lt;=W8,"L/N",IF(C81&lt;=W9,"W of I",IF(C81&gt;W10,"NT"))))</f>
        <v>Aw</v>
      </c>
      <c r="G81" s="38"/>
      <c r="I81" s="14"/>
      <c r="J81" s="14"/>
      <c r="K81" s="14"/>
      <c r="L81" s="14"/>
      <c r="M81" s="14"/>
    </row>
    <row r="82" spans="1:29" ht="12" hidden="1" customHeight="1" x14ac:dyDescent="0.15">
      <c r="A82" s="91" t="s">
        <v>127</v>
      </c>
      <c r="B82" s="89"/>
      <c r="C82" s="93">
        <f>J53</f>
        <v>6.9999999999999993E-2</v>
      </c>
      <c r="D82" s="90"/>
      <c r="E82" s="38" t="str">
        <f>IF(C82&lt;=T11,"Aw",IF(C82&lt;=T8,"L/N",IF(C82&lt;=T9,"W of I",IF(C82&gt;T10,"NT"))))</f>
        <v>Aw</v>
      </c>
      <c r="G82" s="38"/>
      <c r="I82" s="14"/>
      <c r="J82" s="14"/>
      <c r="K82" s="14"/>
      <c r="L82" s="14"/>
      <c r="M82" s="14"/>
      <c r="O82" s="17">
        <f>IF(E82="Aw",1,0)</f>
        <v>1</v>
      </c>
    </row>
    <row r="83" spans="1:29" ht="12" hidden="1" customHeight="1" x14ac:dyDescent="0.15">
      <c r="A83" s="91" t="s">
        <v>126</v>
      </c>
      <c r="B83" s="89"/>
      <c r="C83" s="93">
        <f>J54</f>
        <v>6.9999999999999993E-2</v>
      </c>
      <c r="D83" s="93"/>
      <c r="E83" s="38" t="str">
        <f>IF(C83&lt;=T11,"Aw",IF(C83&lt;=T8,"L/N",IF(C83&lt;=T9,"W of I",IF(C83&gt;T10,"NT"))))</f>
        <v>Aw</v>
      </c>
      <c r="G83" s="38"/>
      <c r="I83" s="14"/>
      <c r="J83" s="14"/>
      <c r="K83" s="14"/>
      <c r="L83" s="14"/>
      <c r="M83" s="14"/>
      <c r="O83" s="17">
        <f t="shared" ref="O83:O85" si="46">IF(E83="Aw",1,0)</f>
        <v>1</v>
      </c>
    </row>
    <row r="84" spans="1:29" ht="12.75" hidden="1" customHeight="1" x14ac:dyDescent="0.15">
      <c r="A84" s="91" t="s">
        <v>129</v>
      </c>
      <c r="B84" s="89"/>
      <c r="C84" s="93">
        <f>J39</f>
        <v>6.9999999999999993E-2</v>
      </c>
      <c r="D84" s="93"/>
      <c r="E84" s="38" t="str">
        <f>IF(C84&lt;=W11,"Aw",IF(C84&lt;=W8,"L/N",IF(C84&lt;=W9,"W of I",IF(C84&gt;W10,"NT"))))</f>
        <v>Aw</v>
      </c>
      <c r="G84" s="38"/>
      <c r="I84" s="14"/>
      <c r="J84" s="14"/>
      <c r="K84" s="14"/>
      <c r="L84" s="14"/>
      <c r="M84" s="14"/>
      <c r="O84" s="17">
        <f t="shared" si="46"/>
        <v>1</v>
      </c>
    </row>
    <row r="85" spans="1:29" ht="12" hidden="1" customHeight="1" x14ac:dyDescent="0.15">
      <c r="A85" s="91" t="s">
        <v>128</v>
      </c>
      <c r="B85" s="89"/>
      <c r="C85" s="93">
        <f>J40</f>
        <v>6.9999999999999993E-2</v>
      </c>
      <c r="D85" s="93"/>
      <c r="E85" s="38" t="str">
        <f>IF(C85&lt;=W11,"Aw",IF(C85&lt;=W8,"L/N",IF(C85&lt;=W9,"W of I",IF(C85&gt;W10,"NT"))))</f>
        <v>Aw</v>
      </c>
      <c r="G85" s="38"/>
      <c r="I85" s="14"/>
      <c r="J85" s="14"/>
      <c r="K85" s="14"/>
      <c r="L85" s="14"/>
      <c r="M85" s="14"/>
      <c r="O85" s="17">
        <f t="shared" si="46"/>
        <v>1</v>
      </c>
    </row>
    <row r="86" spans="1:29" ht="12" hidden="1" customHeight="1" x14ac:dyDescent="0.15">
      <c r="A86" s="91"/>
      <c r="B86" s="89"/>
      <c r="C86" s="93"/>
      <c r="D86" s="93"/>
      <c r="E86" s="38"/>
      <c r="G86" s="38"/>
      <c r="I86" s="14"/>
      <c r="J86" s="14"/>
      <c r="K86" s="14"/>
      <c r="L86" s="14"/>
      <c r="M86" s="14"/>
    </row>
    <row r="87" spans="1:29" ht="12" hidden="1" customHeight="1" x14ac:dyDescent="0.15">
      <c r="A87" s="88" t="s">
        <v>147</v>
      </c>
      <c r="B87" s="89"/>
      <c r="C87" s="93"/>
      <c r="D87" s="93"/>
      <c r="E87" s="93"/>
      <c r="F87" s="38"/>
      <c r="G87" s="38"/>
      <c r="I87" s="14"/>
      <c r="J87" s="14"/>
      <c r="K87" s="14"/>
      <c r="L87" s="14"/>
      <c r="M87" s="14"/>
      <c r="O87" s="17">
        <f>SUM(O82:O85)</f>
        <v>4</v>
      </c>
    </row>
    <row r="88" spans="1:29" ht="12" hidden="1" x14ac:dyDescent="0.15">
      <c r="A88" s="91" t="s">
        <v>145</v>
      </c>
      <c r="B88" s="89"/>
      <c r="C88" s="112">
        <f>H53+I54</f>
        <v>0.13999999999999999</v>
      </c>
      <c r="D88" s="90"/>
      <c r="E88" s="90"/>
      <c r="L88" s="14"/>
      <c r="M88" s="14"/>
    </row>
    <row r="89" spans="1:29" ht="12" hidden="1" x14ac:dyDescent="0.15">
      <c r="A89" s="91" t="s">
        <v>144</v>
      </c>
      <c r="B89" s="89"/>
      <c r="C89" s="112">
        <f>H53+I54</f>
        <v>0.13999999999999999</v>
      </c>
      <c r="D89" s="90"/>
      <c r="E89" s="90"/>
      <c r="L89" s="84">
        <f>IF(C88&lt;=0,0,IF(C89&lt;=0,0,(MAX(C88,C89)/MIN(C88,C89))))</f>
        <v>1</v>
      </c>
    </row>
    <row r="90" spans="1:29" ht="12" hidden="1" x14ac:dyDescent="0.15">
      <c r="A90" s="91" t="s">
        <v>143</v>
      </c>
      <c r="B90" s="89"/>
      <c r="C90" s="112">
        <f>H39+I40</f>
        <v>0.13999999999999999</v>
      </c>
      <c r="D90" s="90"/>
      <c r="E90" s="90"/>
    </row>
    <row r="91" spans="1:29" ht="12" hidden="1" x14ac:dyDescent="0.15">
      <c r="A91" s="91" t="s">
        <v>142</v>
      </c>
      <c r="B91" s="89"/>
      <c r="C91" s="112">
        <f>H39+I40</f>
        <v>0.13999999999999999</v>
      </c>
      <c r="D91" s="90"/>
      <c r="E91" s="90"/>
      <c r="L91" s="84">
        <f>IF(C90&lt;=0,0,IF(C91&lt;=0,0,(MAX(C90,C91)/MIN(C90,C91))))</f>
        <v>1</v>
      </c>
    </row>
    <row r="92" spans="1:29" ht="14" customHeight="1" x14ac:dyDescent="0.15">
      <c r="C92" s="17"/>
      <c r="D92" s="17"/>
      <c r="E92" s="17"/>
    </row>
    <row r="93" spans="1:29" x14ac:dyDescent="0.15">
      <c r="A93" s="55"/>
      <c r="B93" s="56"/>
      <c r="C93" s="57"/>
      <c r="D93" s="57"/>
      <c r="E93" s="57"/>
      <c r="F93" s="56"/>
      <c r="G93" s="56"/>
      <c r="H93" s="56"/>
      <c r="I93" s="56"/>
      <c r="J93" s="58"/>
      <c r="K93" s="58"/>
      <c r="L93" s="56"/>
      <c r="M93" s="56"/>
      <c r="N93" s="56"/>
      <c r="O93" s="56"/>
      <c r="P93" s="56"/>
      <c r="Q93" s="56"/>
      <c r="R93" s="56"/>
      <c r="S93" s="56"/>
      <c r="T93" s="56"/>
      <c r="U93" s="56"/>
      <c r="V93" s="56"/>
      <c r="W93" s="56"/>
      <c r="X93" s="56"/>
      <c r="Y93" s="56"/>
      <c r="Z93" s="59"/>
      <c r="AA93" s="14"/>
      <c r="AB93" s="59"/>
      <c r="AC93" s="14"/>
    </row>
    <row r="94" spans="1:29" ht="13" x14ac:dyDescent="0.15">
      <c r="A94" s="134" t="s">
        <v>211</v>
      </c>
      <c r="B94" s="14"/>
      <c r="C94" s="14" t="s">
        <v>191</v>
      </c>
      <c r="D94" s="14"/>
      <c r="E94" s="14"/>
      <c r="F94" s="14"/>
      <c r="G94" s="14"/>
      <c r="H94" s="14"/>
      <c r="I94" s="14"/>
      <c r="J94" s="30"/>
      <c r="K94" s="30"/>
      <c r="L94" s="14"/>
      <c r="M94" s="14"/>
      <c r="N94" s="110" t="s">
        <v>167</v>
      </c>
      <c r="O94" s="14"/>
      <c r="P94" s="203" t="s">
        <v>210</v>
      </c>
      <c r="Q94" s="204"/>
      <c r="R94" s="204"/>
      <c r="S94" s="204"/>
      <c r="T94" s="204"/>
      <c r="U94" s="204"/>
      <c r="V94" s="204"/>
      <c r="W94" s="204"/>
      <c r="X94" s="204"/>
      <c r="Y94" s="204"/>
      <c r="Z94" s="205"/>
      <c r="AA94" s="205"/>
      <c r="AB94" s="206"/>
      <c r="AC94" s="132"/>
    </row>
    <row r="95" spans="1:29" ht="13" x14ac:dyDescent="0.15">
      <c r="A95" s="60" t="s">
        <v>206</v>
      </c>
      <c r="B95" s="61"/>
      <c r="C95" s="62" t="s">
        <v>57</v>
      </c>
      <c r="D95" s="62" t="s">
        <v>46</v>
      </c>
      <c r="E95" s="62" t="s">
        <v>72</v>
      </c>
      <c r="F95" s="207" t="s">
        <v>73</v>
      </c>
      <c r="G95" s="162"/>
      <c r="H95" s="162"/>
      <c r="I95" s="162"/>
      <c r="J95" s="162"/>
      <c r="K95" s="76"/>
      <c r="L95" s="76"/>
      <c r="M95" s="14"/>
      <c r="N95" s="14"/>
      <c r="O95" s="14"/>
      <c r="P95" s="204"/>
      <c r="Q95" s="204"/>
      <c r="R95" s="204"/>
      <c r="S95" s="204"/>
      <c r="T95" s="204"/>
      <c r="U95" s="204"/>
      <c r="V95" s="204"/>
      <c r="W95" s="204"/>
      <c r="X95" s="204"/>
      <c r="Y95" s="204"/>
      <c r="Z95" s="205"/>
      <c r="AA95" s="205"/>
      <c r="AB95" s="206"/>
      <c r="AC95" s="132"/>
    </row>
    <row r="96" spans="1:29" ht="11" customHeight="1" x14ac:dyDescent="0.15">
      <c r="A96" s="135" t="s">
        <v>207</v>
      </c>
      <c r="B96" s="14"/>
      <c r="C96" s="63">
        <v>1.4</v>
      </c>
      <c r="D96" s="63">
        <v>1.9</v>
      </c>
      <c r="E96" s="63">
        <v>1.4</v>
      </c>
      <c r="F96" s="63">
        <v>1.4</v>
      </c>
      <c r="J96" s="14"/>
      <c r="K96" s="14"/>
      <c r="L96" s="14"/>
      <c r="M96" s="14"/>
      <c r="N96" s="14"/>
      <c r="O96" s="14"/>
      <c r="P96" s="204"/>
      <c r="Q96" s="204"/>
      <c r="R96" s="204"/>
      <c r="S96" s="204"/>
      <c r="T96" s="204"/>
      <c r="U96" s="204"/>
      <c r="V96" s="204"/>
      <c r="W96" s="204"/>
      <c r="X96" s="204"/>
      <c r="Y96" s="204"/>
      <c r="Z96" s="205"/>
      <c r="AA96" s="205"/>
      <c r="AB96" s="206"/>
      <c r="AC96" s="132"/>
    </row>
    <row r="97" spans="1:29" ht="11" customHeight="1" x14ac:dyDescent="0.15">
      <c r="A97" s="135" t="s">
        <v>185</v>
      </c>
      <c r="B97" s="14"/>
      <c r="C97" s="63">
        <v>3</v>
      </c>
      <c r="D97" s="63">
        <v>7</v>
      </c>
      <c r="E97" s="63">
        <v>3</v>
      </c>
      <c r="F97" s="63">
        <v>3</v>
      </c>
      <c r="J97" s="14"/>
      <c r="K97" s="14"/>
      <c r="L97" s="14"/>
      <c r="M97" s="14"/>
      <c r="N97" s="14"/>
      <c r="O97" s="14"/>
      <c r="P97" s="204"/>
      <c r="Q97" s="204"/>
      <c r="R97" s="204"/>
      <c r="S97" s="204"/>
      <c r="T97" s="204"/>
      <c r="U97" s="204"/>
      <c r="V97" s="204"/>
      <c r="W97" s="204"/>
      <c r="X97" s="204"/>
      <c r="Y97" s="204"/>
      <c r="Z97" s="205"/>
      <c r="AA97" s="205"/>
      <c r="AB97" s="206"/>
      <c r="AC97" s="132"/>
    </row>
    <row r="98" spans="1:29" ht="11" customHeight="1" x14ac:dyDescent="0.15">
      <c r="A98" s="135" t="s">
        <v>189</v>
      </c>
      <c r="B98" s="14"/>
      <c r="C98" s="63">
        <v>3</v>
      </c>
      <c r="D98" s="63">
        <v>7</v>
      </c>
      <c r="E98" s="63">
        <v>3</v>
      </c>
      <c r="F98" s="63">
        <v>3</v>
      </c>
      <c r="J98" s="14"/>
      <c r="K98" s="14"/>
      <c r="L98" s="14"/>
      <c r="M98" s="14"/>
      <c r="N98" s="14"/>
      <c r="O98" s="14"/>
      <c r="P98" s="204"/>
      <c r="Q98" s="204"/>
      <c r="R98" s="204"/>
      <c r="S98" s="204"/>
      <c r="T98" s="204"/>
      <c r="U98" s="204"/>
      <c r="V98" s="204"/>
      <c r="W98" s="204"/>
      <c r="X98" s="204"/>
      <c r="Y98" s="204"/>
      <c r="Z98" s="205"/>
      <c r="AA98" s="205"/>
      <c r="AB98" s="206"/>
      <c r="AC98" s="132"/>
    </row>
    <row r="99" spans="1:29" ht="14" x14ac:dyDescent="0.2">
      <c r="A99" s="135" t="s">
        <v>202</v>
      </c>
      <c r="B99" s="14"/>
      <c r="C99" s="63">
        <v>3</v>
      </c>
      <c r="D99" s="63">
        <v>7</v>
      </c>
      <c r="E99" s="63">
        <v>3</v>
      </c>
      <c r="F99" s="63">
        <v>3</v>
      </c>
      <c r="J99" s="14"/>
      <c r="K99" s="14"/>
      <c r="L99" s="14"/>
      <c r="M99" s="14"/>
      <c r="N99" s="14"/>
      <c r="O99" s="14"/>
      <c r="P99" s="205"/>
      <c r="Q99" s="205"/>
      <c r="R99" s="205"/>
      <c r="S99" s="205"/>
      <c r="T99" s="205"/>
      <c r="U99" s="205"/>
      <c r="V99" s="205"/>
      <c r="W99" s="205"/>
      <c r="X99" s="205"/>
      <c r="Y99" s="205"/>
      <c r="Z99" s="205"/>
      <c r="AA99" s="205"/>
      <c r="AB99" s="206"/>
      <c r="AC99" s="133"/>
    </row>
    <row r="100" spans="1:29" ht="14" hidden="1" x14ac:dyDescent="0.2">
      <c r="A100" s="135" t="s">
        <v>190</v>
      </c>
      <c r="C100" s="63">
        <v>1.4</v>
      </c>
      <c r="D100" s="63">
        <v>1.9</v>
      </c>
      <c r="E100" s="63">
        <v>1.4</v>
      </c>
      <c r="F100" s="63">
        <v>1.4</v>
      </c>
      <c r="K100" s="14"/>
      <c r="L100" s="14"/>
      <c r="M100" s="14"/>
      <c r="N100" s="14"/>
      <c r="O100" s="14"/>
      <c r="P100" s="205"/>
      <c r="Q100" s="205"/>
      <c r="R100" s="205"/>
      <c r="S100" s="205"/>
      <c r="T100" s="205"/>
      <c r="U100" s="205"/>
      <c r="V100" s="205"/>
      <c r="W100" s="205"/>
      <c r="X100" s="205"/>
      <c r="Y100" s="205"/>
      <c r="Z100" s="205"/>
      <c r="AA100" s="205"/>
      <c r="AB100" s="206"/>
      <c r="AC100" s="133"/>
    </row>
    <row r="101" spans="1:29" x14ac:dyDescent="0.15">
      <c r="A101" s="135" t="s">
        <v>203</v>
      </c>
      <c r="C101" s="63">
        <v>0.1</v>
      </c>
      <c r="D101" s="63">
        <v>0.1</v>
      </c>
      <c r="E101" s="63">
        <v>0.1</v>
      </c>
      <c r="F101" s="63">
        <v>0.1</v>
      </c>
      <c r="K101" s="14"/>
      <c r="L101" s="14"/>
      <c r="M101" s="14"/>
      <c r="P101" s="14"/>
      <c r="Q101" s="14"/>
      <c r="R101" s="14"/>
      <c r="S101" s="14"/>
      <c r="T101" s="14"/>
      <c r="U101" s="14"/>
      <c r="V101" s="14"/>
      <c r="W101" s="14"/>
      <c r="X101" s="14"/>
      <c r="Y101" s="14"/>
      <c r="Z101" s="33"/>
      <c r="AA101" s="14"/>
      <c r="AB101" s="33"/>
      <c r="AC101" s="14"/>
    </row>
    <row r="102" spans="1:29" ht="13" x14ac:dyDescent="0.15">
      <c r="A102" s="117" t="s">
        <v>204</v>
      </c>
      <c r="B102" s="118"/>
      <c r="C102" s="119" t="s">
        <v>57</v>
      </c>
      <c r="D102" s="119" t="s">
        <v>46</v>
      </c>
      <c r="E102" s="119" t="s">
        <v>72</v>
      </c>
      <c r="F102" s="195" t="s">
        <v>73</v>
      </c>
      <c r="G102" s="196"/>
      <c r="H102" s="196"/>
      <c r="I102" s="196"/>
      <c r="J102" s="196"/>
      <c r="K102" s="14"/>
      <c r="L102" s="14"/>
      <c r="M102" s="14"/>
      <c r="N102" s="14" t="s">
        <v>135</v>
      </c>
      <c r="O102" s="14"/>
      <c r="P102" s="201">
        <v>44560</v>
      </c>
      <c r="Q102" s="202"/>
      <c r="R102" s="202"/>
      <c r="S102" s="14"/>
      <c r="T102" s="14"/>
      <c r="U102" s="14"/>
      <c r="V102" s="14"/>
      <c r="W102" s="14"/>
      <c r="X102" s="14"/>
      <c r="Y102" s="14"/>
      <c r="Z102" s="33"/>
      <c r="AA102" s="14"/>
      <c r="AB102" s="33"/>
      <c r="AC102" s="14"/>
    </row>
    <row r="103" spans="1:29" ht="13" x14ac:dyDescent="0.15">
      <c r="A103" s="120" t="s">
        <v>186</v>
      </c>
      <c r="B103" s="27"/>
      <c r="C103" s="121">
        <v>1.1000000000000001</v>
      </c>
      <c r="D103" s="121">
        <v>0.8</v>
      </c>
      <c r="E103" s="121">
        <v>0.8</v>
      </c>
      <c r="F103" s="121">
        <v>0.8</v>
      </c>
      <c r="G103" s="27"/>
      <c r="H103" s="27"/>
      <c r="I103" s="27"/>
      <c r="J103" s="122"/>
      <c r="K103" s="76"/>
      <c r="L103" s="76"/>
      <c r="M103" s="14"/>
      <c r="N103" s="14" t="s">
        <v>130</v>
      </c>
      <c r="O103" s="14"/>
      <c r="P103" s="18" t="s">
        <v>213</v>
      </c>
      <c r="Q103" s="14"/>
      <c r="R103" s="14"/>
      <c r="S103" s="14"/>
      <c r="T103" s="14"/>
      <c r="U103" s="14"/>
      <c r="V103" s="14"/>
      <c r="W103" s="14"/>
      <c r="X103" s="14"/>
      <c r="Y103" s="14"/>
      <c r="Z103" s="33"/>
      <c r="AA103" s="14"/>
      <c r="AB103" s="33"/>
      <c r="AC103" s="14"/>
    </row>
    <row r="104" spans="1:29" x14ac:dyDescent="0.15">
      <c r="A104" s="120" t="s">
        <v>187</v>
      </c>
      <c r="B104" s="27"/>
      <c r="C104" s="121">
        <v>3.7</v>
      </c>
      <c r="D104" s="121">
        <v>0.8</v>
      </c>
      <c r="E104" s="121">
        <v>0.8</v>
      </c>
      <c r="F104" s="121">
        <v>0.8</v>
      </c>
      <c r="G104" s="27"/>
      <c r="H104" s="27"/>
      <c r="I104" s="27"/>
      <c r="J104" s="122"/>
      <c r="K104" s="14"/>
      <c r="L104" s="14"/>
      <c r="M104" s="14"/>
      <c r="N104" s="14" t="s">
        <v>131</v>
      </c>
      <c r="O104" s="14"/>
      <c r="P104" s="19" t="s">
        <v>138</v>
      </c>
      <c r="Q104" s="14"/>
      <c r="R104" s="14"/>
      <c r="S104" s="14"/>
      <c r="T104" s="14"/>
      <c r="U104" s="14"/>
      <c r="V104" s="14"/>
      <c r="W104" s="14"/>
      <c r="X104" s="14"/>
      <c r="Y104" s="14"/>
      <c r="Z104" s="33"/>
      <c r="AA104" s="14"/>
      <c r="AB104" s="33"/>
      <c r="AC104" s="14"/>
    </row>
    <row r="105" spans="1:29" x14ac:dyDescent="0.15">
      <c r="A105" s="120" t="s">
        <v>188</v>
      </c>
      <c r="B105" s="122"/>
      <c r="C105" s="67">
        <v>3.7</v>
      </c>
      <c r="D105" s="67">
        <v>0.8</v>
      </c>
      <c r="E105" s="67">
        <v>0.8</v>
      </c>
      <c r="F105" s="67">
        <v>0.8</v>
      </c>
      <c r="G105" s="27"/>
      <c r="H105" s="27"/>
      <c r="I105" s="27"/>
      <c r="J105" s="122"/>
      <c r="K105" s="14"/>
      <c r="L105" s="14"/>
      <c r="M105" s="14"/>
      <c r="N105" s="14"/>
      <c r="O105" s="14"/>
      <c r="P105" s="19" t="s">
        <v>139</v>
      </c>
      <c r="Q105" s="14"/>
      <c r="R105" s="14"/>
      <c r="S105" s="14"/>
      <c r="T105" s="14"/>
      <c r="U105" s="14"/>
      <c r="V105" s="14"/>
      <c r="W105" s="14"/>
      <c r="X105" s="14"/>
      <c r="Y105" s="14"/>
      <c r="Z105" s="33"/>
      <c r="AA105" s="14"/>
      <c r="AB105" s="33"/>
      <c r="AC105" s="14"/>
    </row>
    <row r="106" spans="1:29" x14ac:dyDescent="0.15">
      <c r="A106" s="120" t="s">
        <v>205</v>
      </c>
      <c r="B106" s="122"/>
      <c r="C106" s="67">
        <v>1.1000000000000001</v>
      </c>
      <c r="D106" s="67">
        <v>0.8</v>
      </c>
      <c r="E106" s="67">
        <v>0.8</v>
      </c>
      <c r="F106" s="67">
        <v>0.8</v>
      </c>
      <c r="G106" s="27"/>
      <c r="H106" s="27"/>
      <c r="I106" s="27"/>
      <c r="J106" s="122"/>
      <c r="K106" s="14"/>
      <c r="L106" s="14"/>
      <c r="M106" s="14"/>
      <c r="N106" s="14"/>
      <c r="O106" s="14"/>
      <c r="P106" s="19" t="s">
        <v>201</v>
      </c>
      <c r="Q106" s="14"/>
      <c r="R106" s="14"/>
      <c r="S106" s="14"/>
      <c r="T106" s="14"/>
      <c r="U106" s="14"/>
      <c r="V106" s="14"/>
      <c r="W106" s="14"/>
      <c r="X106" s="14"/>
      <c r="Y106" s="14"/>
      <c r="Z106" s="33"/>
      <c r="AA106" s="14"/>
      <c r="AB106" s="33"/>
      <c r="AC106" s="14"/>
    </row>
    <row r="107" spans="1:29" x14ac:dyDescent="0.15">
      <c r="A107" s="34"/>
      <c r="K107" s="14"/>
      <c r="L107" s="14"/>
      <c r="M107" s="14"/>
      <c r="N107" s="14"/>
      <c r="O107" s="14"/>
      <c r="P107" s="19"/>
      <c r="Q107" s="14"/>
      <c r="R107" s="14"/>
      <c r="S107" s="14"/>
      <c r="T107" s="14"/>
      <c r="U107" s="14"/>
      <c r="V107" s="14"/>
      <c r="W107" s="14"/>
      <c r="X107" s="14"/>
      <c r="Y107" s="14"/>
      <c r="Z107" s="33"/>
      <c r="AA107" s="14"/>
      <c r="AB107" s="33"/>
      <c r="AC107" s="14"/>
    </row>
    <row r="108" spans="1:29" x14ac:dyDescent="0.15">
      <c r="A108" s="64"/>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6"/>
      <c r="AA108" s="14"/>
      <c r="AB108" s="66"/>
      <c r="AC108" s="14"/>
    </row>
  </sheetData>
  <sheetProtection algorithmName="SHA-512" hashValue="v2Iq9vB6fgLOAyREFZnpH7K4D7q00J01CbsWRAfJgS/ZPIe6PLUnj0VNv0WVrs9Bfb7hxl1Zyvd2voGT1+TkHQ==" saltValue="5U1RQTK5CS0ij/RFKNB//Q==" spinCount="100000" sheet="1" selectLockedCells="1"/>
  <mergeCells count="48">
    <mergeCell ref="F102:J102"/>
    <mergeCell ref="C32:D32"/>
    <mergeCell ref="E32:F32"/>
    <mergeCell ref="P102:R102"/>
    <mergeCell ref="P94:AB100"/>
    <mergeCell ref="F95:J95"/>
    <mergeCell ref="K7:P7"/>
    <mergeCell ref="K8:P8"/>
    <mergeCell ref="C7:J7"/>
    <mergeCell ref="C8:J8"/>
    <mergeCell ref="C6:J6"/>
    <mergeCell ref="C9:J9"/>
    <mergeCell ref="C12:J12"/>
    <mergeCell ref="C3:J3"/>
    <mergeCell ref="C4:J4"/>
    <mergeCell ref="C5:J5"/>
    <mergeCell ref="AB29:AB32"/>
    <mergeCell ref="T16:AB16"/>
    <mergeCell ref="T17:AB17"/>
    <mergeCell ref="T18:AB18"/>
    <mergeCell ref="T19:AB19"/>
    <mergeCell ref="C23:AB24"/>
    <mergeCell ref="C26:AB26"/>
    <mergeCell ref="C27:AB27"/>
    <mergeCell ref="W29:W31"/>
    <mergeCell ref="C30:F30"/>
    <mergeCell ref="H29:J30"/>
    <mergeCell ref="N29:T29"/>
    <mergeCell ref="C25:Z25"/>
    <mergeCell ref="Y29:Y31"/>
    <mergeCell ref="N16:P16"/>
    <mergeCell ref="N17:P17"/>
    <mergeCell ref="C29:F29"/>
    <mergeCell ref="C31:F31"/>
    <mergeCell ref="C10:J10"/>
    <mergeCell ref="C14:J14"/>
    <mergeCell ref="A1:D1"/>
    <mergeCell ref="C20:L20"/>
    <mergeCell ref="K9:P9"/>
    <mergeCell ref="N18:P18"/>
    <mergeCell ref="N19:P19"/>
    <mergeCell ref="C16:L16"/>
    <mergeCell ref="C17:L17"/>
    <mergeCell ref="C18:L18"/>
    <mergeCell ref="C19:L19"/>
    <mergeCell ref="C11:J11"/>
    <mergeCell ref="C15:J15"/>
    <mergeCell ref="C13:J13"/>
  </mergeCells>
  <phoneticPr fontId="1" type="noConversion"/>
  <hyperlinks>
    <hyperlink ref="P104" r:id="rId1" xr:uid="{00000000-0004-0000-0000-000000000000}"/>
    <hyperlink ref="P105" r:id="rId2" xr:uid="{00000000-0004-0000-0000-000001000000}"/>
  </hyperlinks>
  <pageMargins left="0.75" right="0.75" top="1" bottom="1" header="0.5" footer="0.5"/>
  <pageSetup paperSize="9" scale="45" orientation="portrait" horizontalDpi="360" verticalDpi="36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9"/>
  <dimension ref="A1:E7"/>
  <sheetViews>
    <sheetView zoomScale="200" zoomScaleNormal="200" workbookViewId="0">
      <selection sqref="A1:E7"/>
    </sheetView>
  </sheetViews>
  <sheetFormatPr baseColWidth="10" defaultColWidth="10.83203125" defaultRowHeight="16" x14ac:dyDescent="0.2"/>
  <cols>
    <col min="1" max="1" width="34" style="2" bestFit="1" customWidth="1"/>
    <col min="2" max="4" width="10.83203125" style="2"/>
    <col min="5" max="5" width="15.5" style="2" customWidth="1"/>
    <col min="6" max="16384" width="10.83203125" style="2"/>
  </cols>
  <sheetData>
    <row r="1" spans="1:5" x14ac:dyDescent="0.2">
      <c r="A1" s="3" t="s">
        <v>68</v>
      </c>
    </row>
    <row r="3" spans="1:5" ht="50" customHeight="1" x14ac:dyDescent="0.2">
      <c r="A3" s="2" t="s">
        <v>69</v>
      </c>
      <c r="B3" s="3" t="s">
        <v>57</v>
      </c>
      <c r="C3" s="3" t="s">
        <v>46</v>
      </c>
      <c r="D3" s="3" t="s">
        <v>72</v>
      </c>
      <c r="E3" s="5" t="s">
        <v>73</v>
      </c>
    </row>
    <row r="4" spans="1:5" x14ac:dyDescent="0.2">
      <c r="A4" s="6" t="s">
        <v>70</v>
      </c>
      <c r="B4" s="4">
        <v>0.1</v>
      </c>
      <c r="C4" s="4">
        <v>0.1</v>
      </c>
      <c r="D4" s="4">
        <v>0.1</v>
      </c>
      <c r="E4" s="4">
        <v>0.1</v>
      </c>
    </row>
    <row r="5" spans="1:5" x14ac:dyDescent="0.2">
      <c r="A5" s="6" t="s">
        <v>71</v>
      </c>
      <c r="B5" s="4">
        <v>3</v>
      </c>
      <c r="C5" s="4">
        <v>7</v>
      </c>
      <c r="D5" s="4">
        <v>3</v>
      </c>
      <c r="E5" s="4">
        <v>3</v>
      </c>
    </row>
    <row r="6" spans="1:5" x14ac:dyDescent="0.2">
      <c r="A6" s="6" t="s">
        <v>8</v>
      </c>
      <c r="B6" s="4">
        <v>3</v>
      </c>
      <c r="C6" s="4">
        <v>7</v>
      </c>
      <c r="D6" s="4">
        <v>3</v>
      </c>
      <c r="E6" s="4">
        <v>3</v>
      </c>
    </row>
    <row r="7" spans="1:5" x14ac:dyDescent="0.2">
      <c r="A7" s="6" t="s">
        <v>9</v>
      </c>
      <c r="B7" s="4">
        <v>3</v>
      </c>
      <c r="C7" s="4">
        <v>7</v>
      </c>
      <c r="D7" s="4">
        <v>3</v>
      </c>
      <c r="E7" s="4">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8"/>
  <dimension ref="A1:F55"/>
  <sheetViews>
    <sheetView topLeftCell="A22" workbookViewId="0">
      <selection activeCell="F44" sqref="F44"/>
    </sheetView>
  </sheetViews>
  <sheetFormatPr baseColWidth="10" defaultColWidth="10.83203125" defaultRowHeight="12" x14ac:dyDescent="0.15"/>
  <cols>
    <col min="1" max="1" width="15.1640625" style="1" customWidth="1"/>
    <col min="2" max="16384" width="10.83203125" style="1"/>
  </cols>
  <sheetData>
    <row r="1" spans="1:1" x14ac:dyDescent="0.15">
      <c r="A1" s="7" t="s">
        <v>108</v>
      </c>
    </row>
    <row r="3" spans="1:1" x14ac:dyDescent="0.15">
      <c r="A3" s="8" t="s">
        <v>74</v>
      </c>
    </row>
    <row r="5" spans="1:1" x14ac:dyDescent="0.15">
      <c r="A5" s="9" t="s">
        <v>75</v>
      </c>
    </row>
    <row r="7" spans="1:1" x14ac:dyDescent="0.15">
      <c r="A7" s="9" t="s">
        <v>76</v>
      </c>
    </row>
    <row r="9" spans="1:1" x14ac:dyDescent="0.15">
      <c r="A9" s="9" t="s">
        <v>77</v>
      </c>
    </row>
    <row r="10" spans="1:1" x14ac:dyDescent="0.15">
      <c r="A10" s="9"/>
    </row>
    <row r="11" spans="1:1" x14ac:dyDescent="0.15">
      <c r="A11" s="9"/>
    </row>
    <row r="13" spans="1:1" x14ac:dyDescent="0.15">
      <c r="A13" s="9" t="s">
        <v>78</v>
      </c>
    </row>
    <row r="15" spans="1:1" ht="14" x14ac:dyDescent="0.2">
      <c r="A15" s="9" t="s">
        <v>109</v>
      </c>
    </row>
    <row r="17" spans="1:4" ht="14" x14ac:dyDescent="0.2">
      <c r="A17" s="9" t="s">
        <v>110</v>
      </c>
    </row>
    <row r="19" spans="1:4" x14ac:dyDescent="0.15">
      <c r="A19" s="9" t="s">
        <v>79</v>
      </c>
    </row>
    <row r="21" spans="1:4" x14ac:dyDescent="0.15">
      <c r="A21" s="9" t="s">
        <v>80</v>
      </c>
    </row>
    <row r="23" spans="1:4" x14ac:dyDescent="0.15">
      <c r="A23" s="9" t="s">
        <v>81</v>
      </c>
    </row>
    <row r="24" spans="1:4" x14ac:dyDescent="0.15">
      <c r="A24" s="9"/>
    </row>
    <row r="25" spans="1:4" x14ac:dyDescent="0.15">
      <c r="A25" s="208" t="s">
        <v>82</v>
      </c>
      <c r="B25" s="209"/>
      <c r="C25" s="209"/>
      <c r="D25" s="209"/>
    </row>
    <row r="26" spans="1:4" x14ac:dyDescent="0.15">
      <c r="A26" s="10" t="s">
        <v>0</v>
      </c>
      <c r="B26" s="10" t="s">
        <v>1</v>
      </c>
      <c r="C26" s="10" t="s">
        <v>2</v>
      </c>
      <c r="D26" s="10" t="s">
        <v>3</v>
      </c>
    </row>
    <row r="27" spans="1:4" ht="13" x14ac:dyDescent="0.15">
      <c r="A27" s="1" t="s">
        <v>111</v>
      </c>
      <c r="B27" s="1">
        <v>1</v>
      </c>
      <c r="C27" s="1">
        <v>0</v>
      </c>
      <c r="D27" s="1">
        <v>0</v>
      </c>
    </row>
    <row r="28" spans="1:4" x14ac:dyDescent="0.15">
      <c r="A28" s="1" t="s">
        <v>83</v>
      </c>
      <c r="B28" s="1">
        <v>15</v>
      </c>
      <c r="C28" s="1">
        <v>0.4</v>
      </c>
      <c r="D28" s="1">
        <v>0.4</v>
      </c>
    </row>
    <row r="29" spans="1:4" x14ac:dyDescent="0.15">
      <c r="A29" s="1" t="s">
        <v>84</v>
      </c>
      <c r="B29" s="1">
        <v>30</v>
      </c>
      <c r="C29" s="1">
        <v>5</v>
      </c>
      <c r="D29" s="1">
        <v>0</v>
      </c>
    </row>
    <row r="30" spans="1:4" x14ac:dyDescent="0.15">
      <c r="A30" s="1" t="s">
        <v>85</v>
      </c>
      <c r="B30" s="1">
        <v>8</v>
      </c>
      <c r="C30" s="1">
        <v>0.9</v>
      </c>
      <c r="D30" s="1">
        <v>0</v>
      </c>
    </row>
    <row r="31" spans="1:4" x14ac:dyDescent="0.15">
      <c r="A31" s="1" t="s">
        <v>86</v>
      </c>
      <c r="B31" s="1">
        <v>0.4</v>
      </c>
      <c r="C31" s="1">
        <v>7.0000000000000001E-3</v>
      </c>
      <c r="D31" s="1">
        <v>2.1000000000000001E-2</v>
      </c>
    </row>
    <row r="32" spans="1:4" x14ac:dyDescent="0.15">
      <c r="A32" s="1" t="s">
        <v>87</v>
      </c>
      <c r="B32" s="1">
        <v>50</v>
      </c>
      <c r="C32" s="1">
        <v>2</v>
      </c>
      <c r="D32" s="1">
        <v>0</v>
      </c>
    </row>
    <row r="33" spans="1:6" x14ac:dyDescent="0.15">
      <c r="A33" s="1" t="s">
        <v>88</v>
      </c>
      <c r="B33" s="1">
        <v>2</v>
      </c>
      <c r="C33" s="1">
        <v>0.28000000000000003</v>
      </c>
      <c r="D33" s="1">
        <v>0</v>
      </c>
    </row>
    <row r="34" spans="1:6" x14ac:dyDescent="0.15">
      <c r="A34" s="1" t="s">
        <v>89</v>
      </c>
      <c r="B34" s="1">
        <v>15</v>
      </c>
      <c r="C34" s="1">
        <v>0.6</v>
      </c>
      <c r="D34" s="1">
        <v>0.6</v>
      </c>
    </row>
    <row r="35" spans="1:6" x14ac:dyDescent="0.15">
      <c r="A35" s="1" t="s">
        <v>90</v>
      </c>
      <c r="B35" s="1">
        <v>0.2</v>
      </c>
      <c r="C35" s="1">
        <v>3.3999999999999998E-3</v>
      </c>
      <c r="D35" s="1">
        <v>1.6999999999999999E-3</v>
      </c>
    </row>
    <row r="36" spans="1:6" x14ac:dyDescent="0.15">
      <c r="A36" s="1" t="s">
        <v>91</v>
      </c>
      <c r="B36" s="1">
        <v>50</v>
      </c>
      <c r="C36" s="1">
        <v>1</v>
      </c>
      <c r="D36" s="1">
        <v>1</v>
      </c>
    </row>
    <row r="37" spans="1:6" ht="13" x14ac:dyDescent="0.15">
      <c r="A37" s="1" t="s">
        <v>112</v>
      </c>
      <c r="B37" s="1">
        <v>1</v>
      </c>
      <c r="C37" s="1">
        <v>0</v>
      </c>
      <c r="D37" s="1">
        <v>0</v>
      </c>
    </row>
    <row r="38" spans="1:6" x14ac:dyDescent="0.15">
      <c r="A38" s="1" t="s">
        <v>92</v>
      </c>
      <c r="B38" s="1">
        <v>10</v>
      </c>
      <c r="C38" s="1">
        <v>1</v>
      </c>
      <c r="D38" s="1">
        <v>0</v>
      </c>
    </row>
    <row r="39" spans="1:6" ht="13" x14ac:dyDescent="0.15">
      <c r="A39" s="1" t="s">
        <v>113</v>
      </c>
      <c r="B39" s="1">
        <v>1</v>
      </c>
      <c r="C39" s="1">
        <v>0</v>
      </c>
      <c r="D39" s="1">
        <v>0</v>
      </c>
    </row>
    <row r="40" spans="1:6" x14ac:dyDescent="0.15">
      <c r="A40" s="1" t="s">
        <v>93</v>
      </c>
      <c r="B40" s="1">
        <v>4</v>
      </c>
      <c r="C40" s="1">
        <v>0.6</v>
      </c>
      <c r="D40" s="1">
        <v>0</v>
      </c>
    </row>
    <row r="41" spans="1:6" x14ac:dyDescent="0.15">
      <c r="A41" s="1" t="s">
        <v>94</v>
      </c>
      <c r="B41" s="1">
        <v>12</v>
      </c>
      <c r="C41" s="1">
        <v>1.2</v>
      </c>
      <c r="D41" s="1">
        <v>0</v>
      </c>
    </row>
    <row r="42" spans="1:6" x14ac:dyDescent="0.15">
      <c r="A42" s="1" t="s">
        <v>95</v>
      </c>
      <c r="B42" s="1">
        <v>50</v>
      </c>
      <c r="C42" s="1">
        <v>3</v>
      </c>
      <c r="D42" s="1">
        <v>1.5</v>
      </c>
    </row>
    <row r="43" spans="1:6" x14ac:dyDescent="0.15">
      <c r="A43" s="12" t="s">
        <v>96</v>
      </c>
      <c r="B43" s="12">
        <v>0</v>
      </c>
      <c r="C43" s="12">
        <v>0</v>
      </c>
      <c r="D43" s="12">
        <v>1</v>
      </c>
      <c r="F43" s="1" t="s">
        <v>115</v>
      </c>
    </row>
    <row r="44" spans="1:6" x14ac:dyDescent="0.15">
      <c r="A44" s="1" t="s">
        <v>97</v>
      </c>
      <c r="B44" s="1">
        <v>1</v>
      </c>
      <c r="C44" s="1">
        <v>0</v>
      </c>
      <c r="D44" s="1">
        <v>0</v>
      </c>
    </row>
    <row r="46" spans="1:6" ht="13" x14ac:dyDescent="0.15">
      <c r="A46" s="11" t="s">
        <v>114</v>
      </c>
    </row>
    <row r="47" spans="1:6" x14ac:dyDescent="0.15">
      <c r="A47" s="9"/>
    </row>
    <row r="48" spans="1:6" x14ac:dyDescent="0.15">
      <c r="A48" s="208" t="s">
        <v>98</v>
      </c>
      <c r="B48" s="209"/>
      <c r="C48" s="209"/>
      <c r="D48" s="209"/>
      <c r="E48" s="209"/>
    </row>
    <row r="49" spans="1:5" x14ac:dyDescent="0.15">
      <c r="A49" s="10"/>
      <c r="B49" s="10" t="s">
        <v>99</v>
      </c>
      <c r="C49" s="10" t="s">
        <v>100</v>
      </c>
    </row>
    <row r="50" spans="1:5" x14ac:dyDescent="0.15">
      <c r="A50" s="10" t="s">
        <v>101</v>
      </c>
      <c r="B50" s="10" t="s">
        <v>102</v>
      </c>
      <c r="C50" s="10" t="s">
        <v>103</v>
      </c>
      <c r="D50" s="10" t="s">
        <v>102</v>
      </c>
      <c r="E50" s="10" t="s">
        <v>103</v>
      </c>
    </row>
    <row r="51" spans="1:5" x14ac:dyDescent="0.15">
      <c r="A51" s="1" t="s">
        <v>104</v>
      </c>
      <c r="B51" s="1">
        <v>2</v>
      </c>
      <c r="C51" s="1" t="s">
        <v>7</v>
      </c>
      <c r="D51" s="1">
        <v>2</v>
      </c>
      <c r="E51" s="1" t="s">
        <v>7</v>
      </c>
    </row>
    <row r="52" spans="1:5" x14ac:dyDescent="0.15">
      <c r="A52" s="1" t="s">
        <v>105</v>
      </c>
      <c r="B52" s="1">
        <v>2</v>
      </c>
      <c r="C52" s="1">
        <v>30</v>
      </c>
      <c r="D52" s="1" t="s">
        <v>7</v>
      </c>
      <c r="E52" s="1" t="s">
        <v>7</v>
      </c>
    </row>
    <row r="53" spans="1:5" x14ac:dyDescent="0.15">
      <c r="A53" s="1" t="s">
        <v>106</v>
      </c>
      <c r="B53" s="1">
        <v>10</v>
      </c>
      <c r="C53" s="1">
        <v>30</v>
      </c>
      <c r="D53" s="1" t="s">
        <v>7</v>
      </c>
      <c r="E53" s="1" t="s">
        <v>7</v>
      </c>
    </row>
    <row r="55" spans="1:5" x14ac:dyDescent="0.15">
      <c r="A55" s="8" t="s">
        <v>107</v>
      </c>
    </row>
  </sheetData>
  <mergeCells count="2">
    <mergeCell ref="A25:D25"/>
    <mergeCell ref="A48:E48"/>
  </mergeCells>
  <hyperlinks>
    <hyperlink ref="A3" r:id="rId1" location="BijlageB" display="https://wetten.overheid.nl/BWBR0023085/2018-11-30/ - BijlageB" xr:uid="{00000000-0004-0000-0200-000000000000}"/>
    <hyperlink ref="A55" r:id="rId2" display="https://wetten.overheid.nl/jci1.3:c:BWBR0022929&amp;artikel=35&amp;g=2019-07-31&amp;z=2019-07-31" xr:uid="{00000000-0004-0000-02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Invoer+conclusie</vt:lpstr>
      <vt:lpstr>Norm 8 juli 2019</vt:lpstr>
      <vt:lpstr>Bijlage G onderdeel 3 bodemsane</vt:lpstr>
      <vt:lpstr>'Invoer+conclusie'!Afdrukbereik</vt:lpstr>
    </vt:vector>
  </TitlesOfParts>
  <Company>Bosmilieuadvies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Toetsingsheat BRL 9335</dc:title>
  <dc:creator>J.Bos</dc:creator>
  <cp:lastModifiedBy>Jakob Bos</cp:lastModifiedBy>
  <cp:lastPrinted>2021-12-30T12:34:01Z</cp:lastPrinted>
  <dcterms:created xsi:type="dcterms:W3CDTF">2005-11-14T09:18:54Z</dcterms:created>
  <dcterms:modified xsi:type="dcterms:W3CDTF">2021-12-30T12:36:01Z</dcterms:modified>
</cp:coreProperties>
</file>