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codeName="ThisWorkbook" defaultThemeVersion="124226"/>
  <mc:AlternateContent xmlns:mc="http://schemas.openxmlformats.org/markup-compatibility/2006">
    <mc:Choice Requires="x15">
      <x15ac:absPath xmlns:x15ac="http://schemas.microsoft.com/office/spreadsheetml/2010/11/ac" url="/Users/jakob/Bosmilieuadvies Dropbox/BMA/BMA/Standaarden/"/>
    </mc:Choice>
  </mc:AlternateContent>
  <xr:revisionPtr revIDLastSave="0" documentId="8_{92E039CA-EF3A-7C4C-A598-57E7A9997E8D}" xr6:coauthVersionLast="47" xr6:coauthVersionMax="47" xr10:uidLastSave="{00000000-0000-0000-0000-000000000000}"/>
  <workbookProtection workbookAlgorithmName="SHA-512" workbookHashValue="7f3FedkZZv/rlyfDXk/kR2kZYORyFgiowXFw29UaGo255G2892As1pl0UnSi/XMG1zB9+dCXXfmkGDCZbocyPw==" workbookSaltValue="zQa+pQq2QMQdvEa4LCwobA==" workbookSpinCount="100000" lockStructure="1"/>
  <bookViews>
    <workbookView xWindow="1100" yWindow="500" windowWidth="23780" windowHeight="19660" xr2:uid="{00000000-000D-0000-FFFF-FFFF00000000}"/>
  </bookViews>
  <sheets>
    <sheet name="Invoer+conclusie" sheetId="7" r:id="rId1"/>
    <sheet name="Norm 8 juli 2019" sheetId="10" state="hidden" r:id="rId2"/>
    <sheet name="Bijlage G onderdeel 3 bodemsane" sheetId="11" state="hidden" r:id="rId3"/>
  </sheets>
  <definedNames>
    <definedName name="_xlnm._FilterDatabase" localSheetId="0" hidden="1">'Invoer+conclusie'!$AE$10:$AE$11</definedName>
    <definedName name="_xlnm.Print_Area" localSheetId="0">'Invoer+conclusie'!$A$1:$AB$109</definedName>
    <definedName name="conclusie" localSheetId="0">'Invoer+conclusie'!#REF!</definedName>
    <definedName name="_xlnm.Criteria" localSheetId="0">'Invoer+conclusie'!#REF!</definedName>
    <definedName name="oefen" localSheetId="0">'Invoer+conclusie'!#REF!</definedName>
    <definedName name="Vooronderzoek">'Invoer+conclusie'!#REF!</definedName>
    <definedName name="waarden">'Invoer+conclusie'!#REF!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8" i="7" l="1"/>
  <c r="F68" i="7" s="1"/>
  <c r="D72" i="7"/>
  <c r="F72" i="7" s="1"/>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78" i="7"/>
  <c r="F78" i="7"/>
  <c r="F35" i="7"/>
  <c r="E35" i="7"/>
  <c r="AB4" i="7"/>
  <c r="AD67" i="7" l="1"/>
  <c r="AD66" i="7"/>
  <c r="AE67" i="7" l="1"/>
  <c r="AE66" i="7"/>
  <c r="AR40" i="7" l="1"/>
  <c r="AS40" i="7"/>
  <c r="AR41" i="7"/>
  <c r="AS41" i="7"/>
  <c r="AR54" i="7"/>
  <c r="AS54" i="7"/>
  <c r="AR55" i="7"/>
  <c r="AS55" i="7"/>
  <c r="C77" i="7" l="1"/>
  <c r="E77" i="7" s="1"/>
  <c r="D77" i="7"/>
  <c r="F77" i="7" s="1"/>
  <c r="D69" i="7"/>
  <c r="F69" i="7" s="1"/>
  <c r="D70" i="7"/>
  <c r="F70" i="7" s="1"/>
  <c r="D71" i="7"/>
  <c r="F71" i="7" s="1"/>
  <c r="D73" i="7"/>
  <c r="F73" i="7" s="1"/>
  <c r="D74" i="7"/>
  <c r="F74" i="7" s="1"/>
  <c r="D75" i="7"/>
  <c r="F75" i="7" s="1"/>
  <c r="D76" i="7"/>
  <c r="F76" i="7" s="1"/>
  <c r="C69" i="7"/>
  <c r="E69" i="7" s="1"/>
  <c r="C70" i="7"/>
  <c r="E70" i="7" s="1"/>
  <c r="C71" i="7"/>
  <c r="E71" i="7" s="1"/>
  <c r="C72" i="7"/>
  <c r="E72" i="7" s="1"/>
  <c r="C73" i="7"/>
  <c r="E73" i="7" s="1"/>
  <c r="C74" i="7"/>
  <c r="E74" i="7" s="1"/>
  <c r="C75" i="7"/>
  <c r="E75" i="7" s="1"/>
  <c r="C76" i="7"/>
  <c r="E76" i="7" s="1"/>
  <c r="C68" i="7"/>
  <c r="E68" i="7" s="1"/>
  <c r="A77" i="7"/>
  <c r="A76" i="7"/>
  <c r="A75" i="7"/>
  <c r="A74" i="7"/>
  <c r="A73" i="7"/>
  <c r="A72" i="7"/>
  <c r="A71" i="7"/>
  <c r="A70" i="7"/>
  <c r="A69" i="7"/>
  <c r="A68" i="7"/>
  <c r="AD68" i="7" l="1"/>
  <c r="AD69" i="7"/>
  <c r="AD70" i="7"/>
  <c r="AD71" i="7"/>
  <c r="AD72" i="7"/>
  <c r="AD73" i="7"/>
  <c r="AD74" i="7"/>
  <c r="AD75" i="7"/>
  <c r="AD76" i="7"/>
  <c r="AD77" i="7"/>
  <c r="AN68" i="7"/>
  <c r="AN69" i="7"/>
  <c r="AN70" i="7"/>
  <c r="AN71" i="7"/>
  <c r="AN72" i="7"/>
  <c r="AN73" i="7"/>
  <c r="AN74" i="7"/>
  <c r="AN75" i="7"/>
  <c r="AN76" i="7"/>
  <c r="AN77" i="7"/>
  <c r="AE75" i="7" l="1"/>
  <c r="AE72" i="7"/>
  <c r="AE70" i="7"/>
  <c r="AE76" i="7"/>
  <c r="AE73" i="7"/>
  <c r="AE71" i="7"/>
  <c r="AE77" i="7"/>
  <c r="AE74" i="7"/>
  <c r="AE69" i="7"/>
  <c r="AE68" i="7"/>
  <c r="AB11" i="7" l="1"/>
  <c r="AB10" i="7"/>
  <c r="AB9" i="7"/>
  <c r="AH5" i="7"/>
  <c r="AB8" i="7" s="1"/>
  <c r="Z4" i="7"/>
  <c r="Y11" i="7"/>
  <c r="W11" i="7"/>
  <c r="T11" i="7"/>
  <c r="P11" i="7"/>
  <c r="AG5" i="7" l="1"/>
  <c r="AF5" i="7"/>
  <c r="AE5" i="7"/>
  <c r="Y4" i="7"/>
  <c r="W4" i="7"/>
  <c r="T4" i="7"/>
  <c r="P4" i="7"/>
  <c r="P5" i="7"/>
  <c r="M2" i="7"/>
  <c r="Y8" i="7" l="1"/>
  <c r="W8" i="7"/>
  <c r="T8" i="7"/>
  <c r="AE78" i="7" l="1"/>
  <c r="AD78" i="7"/>
  <c r="AE65" i="7" l="1"/>
  <c r="AE64" i="7"/>
  <c r="AE63" i="7"/>
  <c r="AE62" i="7"/>
  <c r="AE61" i="7"/>
  <c r="AE60" i="7"/>
  <c r="AE59" i="7"/>
  <c r="AE58" i="7"/>
  <c r="AE57" i="7"/>
  <c r="AE56" i="7"/>
  <c r="AE55" i="7"/>
  <c r="AE54" i="7"/>
  <c r="AE53" i="7"/>
  <c r="AE52" i="7"/>
  <c r="AE51" i="7"/>
  <c r="AE50" i="7"/>
  <c r="AE49" i="7"/>
  <c r="AE48" i="7"/>
  <c r="AE47" i="7"/>
  <c r="AE46" i="7"/>
  <c r="AE45" i="7"/>
  <c r="AE44" i="7"/>
  <c r="AE43" i="7"/>
  <c r="AE42" i="7"/>
  <c r="AE41" i="7"/>
  <c r="AE40" i="7"/>
  <c r="AE39" i="7"/>
  <c r="AE38" i="7"/>
  <c r="AE37" i="7"/>
  <c r="AE36" i="7"/>
  <c r="AD36" i="7"/>
  <c r="AD37" i="7"/>
  <c r="AD38" i="7"/>
  <c r="AD39" i="7"/>
  <c r="AD40" i="7"/>
  <c r="AD41" i="7"/>
  <c r="AD42" i="7"/>
  <c r="AD43" i="7"/>
  <c r="AD44" i="7"/>
  <c r="AD45" i="7"/>
  <c r="AD46" i="7"/>
  <c r="AD47" i="7"/>
  <c r="AD48" i="7"/>
  <c r="AD49" i="7"/>
  <c r="AD50" i="7"/>
  <c r="AD51" i="7"/>
  <c r="AD52" i="7"/>
  <c r="AD53" i="7"/>
  <c r="AD54" i="7"/>
  <c r="AD55" i="7"/>
  <c r="AD56" i="7"/>
  <c r="AD57" i="7"/>
  <c r="AD58" i="7"/>
  <c r="AD59" i="7"/>
  <c r="AD60" i="7"/>
  <c r="AD61" i="7"/>
  <c r="AD62" i="7"/>
  <c r="AD63" i="7"/>
  <c r="AD64" i="7"/>
  <c r="AD65" i="7"/>
  <c r="AE35" i="7"/>
  <c r="AD35" i="7"/>
  <c r="AE31" i="7"/>
  <c r="AD31" i="7"/>
  <c r="H35" i="7" l="1"/>
  <c r="H67" i="7"/>
  <c r="H66" i="7"/>
  <c r="H72" i="7"/>
  <c r="H75" i="7"/>
  <c r="H71" i="7"/>
  <c r="H73" i="7"/>
  <c r="H76" i="7"/>
  <c r="H74" i="7"/>
  <c r="H70" i="7"/>
  <c r="H77" i="7"/>
  <c r="H68" i="7"/>
  <c r="H69" i="7"/>
  <c r="I67" i="7"/>
  <c r="I66" i="7"/>
  <c r="I35" i="7"/>
  <c r="I74" i="7"/>
  <c r="J74" i="7" s="1"/>
  <c r="AY74" i="7" s="1"/>
  <c r="AC74" i="7" s="1"/>
  <c r="I68" i="7"/>
  <c r="I73" i="7"/>
  <c r="I76" i="7"/>
  <c r="I71" i="7"/>
  <c r="I75" i="7"/>
  <c r="I72" i="7"/>
  <c r="I70" i="7"/>
  <c r="J70" i="7" s="1"/>
  <c r="AY70" i="7" s="1"/>
  <c r="AC70" i="7" s="1"/>
  <c r="I69" i="7"/>
  <c r="I77" i="7"/>
  <c r="H38" i="7"/>
  <c r="H54" i="7"/>
  <c r="H50" i="7"/>
  <c r="H63" i="7"/>
  <c r="H46" i="7"/>
  <c r="H59" i="7"/>
  <c r="H42" i="7"/>
  <c r="I48" i="7"/>
  <c r="I60" i="7"/>
  <c r="H62" i="7"/>
  <c r="H58" i="7"/>
  <c r="H53" i="7"/>
  <c r="H49" i="7"/>
  <c r="H45" i="7"/>
  <c r="H41" i="7"/>
  <c r="H65" i="7"/>
  <c r="H61" i="7"/>
  <c r="H57" i="7"/>
  <c r="H52" i="7"/>
  <c r="H48" i="7"/>
  <c r="H44" i="7"/>
  <c r="H40" i="7"/>
  <c r="I56" i="7"/>
  <c r="H55" i="7"/>
  <c r="H64" i="7"/>
  <c r="H60" i="7"/>
  <c r="H56" i="7"/>
  <c r="H51" i="7"/>
  <c r="H47" i="7"/>
  <c r="H43" i="7"/>
  <c r="H39" i="7"/>
  <c r="I64" i="7"/>
  <c r="H36" i="7"/>
  <c r="I63" i="7"/>
  <c r="I59" i="7"/>
  <c r="I54" i="7"/>
  <c r="I46" i="7"/>
  <c r="I38" i="7"/>
  <c r="I52" i="7"/>
  <c r="I36" i="7"/>
  <c r="I62" i="7"/>
  <c r="I58" i="7"/>
  <c r="I44" i="7"/>
  <c r="I65" i="7"/>
  <c r="I61" i="7"/>
  <c r="I57" i="7"/>
  <c r="I50" i="7"/>
  <c r="I42" i="7"/>
  <c r="H78" i="7"/>
  <c r="I40" i="7"/>
  <c r="I78" i="7"/>
  <c r="I53" i="7"/>
  <c r="I49" i="7"/>
  <c r="I45" i="7"/>
  <c r="I41" i="7"/>
  <c r="I37" i="7"/>
  <c r="H37" i="7"/>
  <c r="I55" i="7"/>
  <c r="I51" i="7"/>
  <c r="I47" i="7"/>
  <c r="I43" i="7"/>
  <c r="I39" i="7"/>
  <c r="Y10" i="7"/>
  <c r="Y9" i="7"/>
  <c r="W10" i="7"/>
  <c r="W9" i="7"/>
  <c r="T10" i="7"/>
  <c r="T9" i="7"/>
  <c r="J71" i="7" l="1"/>
  <c r="AY71" i="7" s="1"/>
  <c r="AC71" i="7" s="1"/>
  <c r="J76" i="7"/>
  <c r="AY76" i="7" s="1"/>
  <c r="AC76" i="7" s="1"/>
  <c r="J73" i="7"/>
  <c r="AY73" i="7" s="1"/>
  <c r="AC73" i="7" s="1"/>
  <c r="J69" i="7"/>
  <c r="AY69" i="7" s="1"/>
  <c r="AC69" i="7" s="1"/>
  <c r="J35" i="7"/>
  <c r="J75" i="7"/>
  <c r="AY75" i="7" s="1"/>
  <c r="AC75" i="7" s="1"/>
  <c r="J67" i="7"/>
  <c r="AY67" i="7" s="1"/>
  <c r="AC67" i="7" s="1"/>
  <c r="J66" i="7"/>
  <c r="AV70" i="7"/>
  <c r="AX70" i="7" s="1"/>
  <c r="AT70" i="7"/>
  <c r="AU70" i="7" s="1"/>
  <c r="J72" i="7"/>
  <c r="AY72" i="7" s="1"/>
  <c r="AC72" i="7" s="1"/>
  <c r="AT73" i="7"/>
  <c r="AU73" i="7" s="1"/>
  <c r="AV73" i="7"/>
  <c r="AX73" i="7" s="1"/>
  <c r="J77" i="7"/>
  <c r="AY77" i="7" s="1"/>
  <c r="AC77" i="7" s="1"/>
  <c r="J68" i="7"/>
  <c r="AY68" i="7" s="1"/>
  <c r="AC68" i="7" s="1"/>
  <c r="AV71" i="7"/>
  <c r="AX71" i="7" s="1"/>
  <c r="AT71" i="7"/>
  <c r="AU71" i="7" s="1"/>
  <c r="AV74" i="7"/>
  <c r="AX74" i="7" s="1"/>
  <c r="AT74" i="7"/>
  <c r="AU74" i="7" s="1"/>
  <c r="C92" i="7"/>
  <c r="C91" i="7"/>
  <c r="C89" i="7"/>
  <c r="C90" i="7"/>
  <c r="L69" i="7"/>
  <c r="AQ71" i="7"/>
  <c r="L71" i="7"/>
  <c r="AQ74" i="7"/>
  <c r="L74" i="7"/>
  <c r="L70" i="7"/>
  <c r="AQ70" i="7"/>
  <c r="L76" i="7"/>
  <c r="AQ76" i="7"/>
  <c r="K8" i="7"/>
  <c r="K9" i="7"/>
  <c r="P10" i="7"/>
  <c r="K7" i="7"/>
  <c r="AQ69" i="7" l="1"/>
  <c r="AS69" i="7" s="1"/>
  <c r="L73" i="7"/>
  <c r="AQ73" i="7"/>
  <c r="AV76" i="7"/>
  <c r="AX76" i="7" s="1"/>
  <c r="AV69" i="7"/>
  <c r="AX69" i="7" s="1"/>
  <c r="AT69" i="7"/>
  <c r="AU69" i="7" s="1"/>
  <c r="AT76" i="7"/>
  <c r="AU76" i="7" s="1"/>
  <c r="L68" i="7"/>
  <c r="AQ77" i="7"/>
  <c r="AS77" i="7" s="1"/>
  <c r="AQ72" i="7"/>
  <c r="AR72" i="7" s="1"/>
  <c r="AQ68" i="7"/>
  <c r="AS68" i="7" s="1"/>
  <c r="AV75" i="7"/>
  <c r="AX75" i="7" s="1"/>
  <c r="L77" i="7"/>
  <c r="L75" i="7"/>
  <c r="AQ75" i="7"/>
  <c r="AS75" i="7" s="1"/>
  <c r="AT75" i="7"/>
  <c r="AU75" i="7" s="1"/>
  <c r="AT67" i="7"/>
  <c r="AU67" i="7" s="1"/>
  <c r="AY66" i="7"/>
  <c r="AC66" i="7" s="1"/>
  <c r="AM66" i="7"/>
  <c r="AL66" i="7" s="1"/>
  <c r="AT66" i="7"/>
  <c r="AU66" i="7" s="1"/>
  <c r="L67" i="7"/>
  <c r="C82" i="7"/>
  <c r="AK82" i="7" s="1"/>
  <c r="L66" i="7"/>
  <c r="AV66" i="7"/>
  <c r="AX66" i="7" s="1"/>
  <c r="AV67" i="7"/>
  <c r="AX67" i="7" s="1"/>
  <c r="AK67" i="7"/>
  <c r="AL67" i="7" s="1"/>
  <c r="C81" i="7"/>
  <c r="AK81" i="7" s="1"/>
  <c r="AV72" i="7"/>
  <c r="AX72" i="7" s="1"/>
  <c r="AT72" i="7"/>
  <c r="AU72" i="7" s="1"/>
  <c r="AT77" i="7"/>
  <c r="AU77" i="7" s="1"/>
  <c r="AV77" i="7"/>
  <c r="AX77" i="7" s="1"/>
  <c r="L72" i="7"/>
  <c r="AT68" i="7"/>
  <c r="AU68" i="7" s="1"/>
  <c r="AV68" i="7"/>
  <c r="AX68" i="7" s="1"/>
  <c r="AS67" i="7"/>
  <c r="AR67" i="7"/>
  <c r="AS66" i="7"/>
  <c r="AR66" i="7"/>
  <c r="AR76" i="7"/>
  <c r="AS76" i="7"/>
  <c r="AR69" i="7"/>
  <c r="AR73" i="7"/>
  <c r="AS73" i="7"/>
  <c r="AR71" i="7"/>
  <c r="AS71" i="7"/>
  <c r="AS70" i="7"/>
  <c r="AR70" i="7"/>
  <c r="AS74" i="7"/>
  <c r="AR74" i="7"/>
  <c r="AS72" i="7" l="1"/>
  <c r="AR77" i="7"/>
  <c r="AR68" i="7"/>
  <c r="AR75" i="7"/>
  <c r="L90" i="7"/>
  <c r="L92" i="7"/>
  <c r="J56" i="7" l="1"/>
  <c r="AY56" i="7" s="1"/>
  <c r="AC56" i="7" s="1"/>
  <c r="J47" i="7"/>
  <c r="AY47" i="7" s="1"/>
  <c r="AC47" i="7" s="1"/>
  <c r="J36" i="7"/>
  <c r="AY36" i="7" s="1"/>
  <c r="AC36" i="7" s="1"/>
  <c r="AQ36" i="7" l="1"/>
  <c r="AR36" i="7" s="1"/>
  <c r="AV36" i="7"/>
  <c r="AX36" i="7" s="1"/>
  <c r="AT36" i="7"/>
  <c r="AQ56" i="7"/>
  <c r="AR56" i="7" s="1"/>
  <c r="AT56" i="7"/>
  <c r="AU56" i="7" s="1"/>
  <c r="AV56" i="7"/>
  <c r="AX56" i="7" s="1"/>
  <c r="AQ47" i="7"/>
  <c r="AR47" i="7" s="1"/>
  <c r="AT47" i="7"/>
  <c r="AU47" i="7" s="1"/>
  <c r="AV47" i="7"/>
  <c r="AX47" i="7" s="1"/>
  <c r="AN47" i="7"/>
  <c r="AN56" i="7"/>
  <c r="AU36" i="7"/>
  <c r="AN36" i="7"/>
  <c r="J45" i="7"/>
  <c r="AY45" i="7" s="1"/>
  <c r="AC45" i="7" s="1"/>
  <c r="J53" i="7"/>
  <c r="AY53" i="7" s="1"/>
  <c r="AC53" i="7" s="1"/>
  <c r="J43" i="7"/>
  <c r="AY43" i="7" s="1"/>
  <c r="AC43" i="7" s="1"/>
  <c r="J51" i="7"/>
  <c r="AY51" i="7" s="1"/>
  <c r="AC51" i="7" s="1"/>
  <c r="J49" i="7"/>
  <c r="AY49" i="7" s="1"/>
  <c r="AC49" i="7" s="1"/>
  <c r="J58" i="7"/>
  <c r="AY58" i="7" s="1"/>
  <c r="AC58" i="7" s="1"/>
  <c r="J54" i="7"/>
  <c r="AY54" i="7" s="1"/>
  <c r="AC54" i="7" s="1"/>
  <c r="J38" i="7"/>
  <c r="AY38" i="7" s="1"/>
  <c r="AC38" i="7" s="1"/>
  <c r="J55" i="7"/>
  <c r="AY55" i="7" s="1"/>
  <c r="AC55" i="7" s="1"/>
  <c r="J60" i="7"/>
  <c r="AY60" i="7" s="1"/>
  <c r="AC60" i="7" s="1"/>
  <c r="L47" i="7"/>
  <c r="L36" i="7"/>
  <c r="J78" i="7"/>
  <c r="J61" i="7"/>
  <c r="AY61" i="7" s="1"/>
  <c r="AC61" i="7" s="1"/>
  <c r="J62" i="7"/>
  <c r="AY62" i="7" s="1"/>
  <c r="AC62" i="7" s="1"/>
  <c r="J65" i="7"/>
  <c r="AY65" i="7" s="1"/>
  <c r="AC65" i="7" s="1"/>
  <c r="J63" i="7"/>
  <c r="AY63" i="7" s="1"/>
  <c r="AC63" i="7" s="1"/>
  <c r="J59" i="7"/>
  <c r="AY59" i="7" s="1"/>
  <c r="AC59" i="7" s="1"/>
  <c r="J57" i="7"/>
  <c r="AY57" i="7" s="1"/>
  <c r="AC57" i="7" s="1"/>
  <c r="J52" i="7"/>
  <c r="AY52" i="7" s="1"/>
  <c r="AC52" i="7" s="1"/>
  <c r="J50" i="7"/>
  <c r="AY50" i="7" s="1"/>
  <c r="AC50" i="7" s="1"/>
  <c r="J48" i="7"/>
  <c r="AY48" i="7" s="1"/>
  <c r="AC48" i="7" s="1"/>
  <c r="J46" i="7"/>
  <c r="AY46" i="7" s="1"/>
  <c r="AC46" i="7" s="1"/>
  <c r="J44" i="7"/>
  <c r="AY44" i="7" s="1"/>
  <c r="AC44" i="7" s="1"/>
  <c r="J42" i="7"/>
  <c r="AY42" i="7" s="1"/>
  <c r="AC42" i="7" s="1"/>
  <c r="J39" i="7"/>
  <c r="AY39" i="7" s="1"/>
  <c r="AC39" i="7" s="1"/>
  <c r="J37" i="7"/>
  <c r="AY37" i="7" s="1"/>
  <c r="AC37" i="7" s="1"/>
  <c r="J40" i="7"/>
  <c r="AY40" i="7" s="1"/>
  <c r="AC40" i="7" s="1"/>
  <c r="J41" i="7"/>
  <c r="AY41" i="7" s="1"/>
  <c r="AC41" i="7" s="1"/>
  <c r="J64" i="7"/>
  <c r="AY64" i="7" s="1"/>
  <c r="AC64" i="7" s="1"/>
  <c r="L56" i="7"/>
  <c r="AQ78" i="7" l="1"/>
  <c r="AV78" i="7"/>
  <c r="AY78" i="7"/>
  <c r="AC78" i="7" s="1"/>
  <c r="AC80" i="7" s="1"/>
  <c r="C21" i="7" s="1"/>
  <c r="AS36" i="7"/>
  <c r="AQ46" i="7"/>
  <c r="AR46" i="7" s="1"/>
  <c r="AV46" i="7"/>
  <c r="AX46" i="7" s="1"/>
  <c r="AT46" i="7"/>
  <c r="AU46" i="7" s="1"/>
  <c r="AQ64" i="7"/>
  <c r="AS64" i="7" s="1"/>
  <c r="AT64" i="7"/>
  <c r="AU64" i="7" s="1"/>
  <c r="AV64" i="7"/>
  <c r="AX64" i="7" s="1"/>
  <c r="AQ48" i="7"/>
  <c r="AS48" i="7" s="1"/>
  <c r="AV48" i="7"/>
  <c r="AX48" i="7" s="1"/>
  <c r="AT48" i="7"/>
  <c r="AQ59" i="7"/>
  <c r="AR59" i="7" s="1"/>
  <c r="AT59" i="7"/>
  <c r="AU59" i="7" s="1"/>
  <c r="AV59" i="7"/>
  <c r="AX59" i="7" s="1"/>
  <c r="AQ60" i="7"/>
  <c r="AR60" i="7" s="1"/>
  <c r="AT60" i="7"/>
  <c r="AU60" i="7" s="1"/>
  <c r="AV60" i="7"/>
  <c r="AX60" i="7" s="1"/>
  <c r="AS47" i="7"/>
  <c r="AS56" i="7"/>
  <c r="AQ42" i="7"/>
  <c r="AS42" i="7" s="1"/>
  <c r="AV42" i="7"/>
  <c r="AX42" i="7" s="1"/>
  <c r="AT42" i="7"/>
  <c r="AU42" i="7" s="1"/>
  <c r="AQ50" i="7"/>
  <c r="AR50" i="7" s="1"/>
  <c r="AV50" i="7"/>
  <c r="AX50" i="7" s="1"/>
  <c r="AT50" i="7"/>
  <c r="AU50" i="7" s="1"/>
  <c r="AQ63" i="7"/>
  <c r="AR63" i="7" s="1"/>
  <c r="AV63" i="7"/>
  <c r="AX63" i="7" s="1"/>
  <c r="AT63" i="7"/>
  <c r="AU63" i="7" s="1"/>
  <c r="AV55" i="7"/>
  <c r="AX55" i="7" s="1"/>
  <c r="AT55" i="7"/>
  <c r="AU55" i="7" s="1"/>
  <c r="AQ49" i="7"/>
  <c r="AR49" i="7" s="1"/>
  <c r="AV49" i="7"/>
  <c r="AX49" i="7" s="1"/>
  <c r="AT49" i="7"/>
  <c r="AU49" i="7" s="1"/>
  <c r="AQ45" i="7"/>
  <c r="AR45" i="7" s="1"/>
  <c r="AV45" i="7"/>
  <c r="AX45" i="7" s="1"/>
  <c r="AT45" i="7"/>
  <c r="AU45" i="7" s="1"/>
  <c r="AQ37" i="7"/>
  <c r="AR37" i="7" s="1"/>
  <c r="AV37" i="7"/>
  <c r="AX37" i="7" s="1"/>
  <c r="AT37" i="7"/>
  <c r="AQ57" i="7"/>
  <c r="AR57" i="7" s="1"/>
  <c r="AV57" i="7"/>
  <c r="AX57" i="7" s="1"/>
  <c r="AT57" i="7"/>
  <c r="AU57" i="7" s="1"/>
  <c r="AQ62" i="7"/>
  <c r="AS62" i="7" s="1"/>
  <c r="AV62" i="7"/>
  <c r="AX62" i="7" s="1"/>
  <c r="AT62" i="7"/>
  <c r="AU62" i="7" s="1"/>
  <c r="AV54" i="7"/>
  <c r="AX54" i="7" s="1"/>
  <c r="AT54" i="7"/>
  <c r="AU54" i="7" s="1"/>
  <c r="AQ43" i="7"/>
  <c r="AR43" i="7" s="1"/>
  <c r="AT43" i="7"/>
  <c r="AU43" i="7" s="1"/>
  <c r="AV43" i="7"/>
  <c r="AX43" i="7" s="1"/>
  <c r="AQ39" i="7"/>
  <c r="AR39" i="7" s="1"/>
  <c r="AT39" i="7"/>
  <c r="AU39" i="7" s="1"/>
  <c r="AV39" i="7"/>
  <c r="AX39" i="7" s="1"/>
  <c r="AQ61" i="7"/>
  <c r="AR61" i="7" s="1"/>
  <c r="AV61" i="7"/>
  <c r="AX61" i="7" s="1"/>
  <c r="AT61" i="7"/>
  <c r="AU61" i="7" s="1"/>
  <c r="AQ58" i="7"/>
  <c r="AS58" i="7" s="1"/>
  <c r="AV58" i="7"/>
  <c r="AX58" i="7" s="1"/>
  <c r="AT58" i="7"/>
  <c r="AU58" i="7" s="1"/>
  <c r="AQ53" i="7"/>
  <c r="AS53" i="7" s="1"/>
  <c r="AV53" i="7"/>
  <c r="AX53" i="7" s="1"/>
  <c r="AT53" i="7"/>
  <c r="AU53" i="7" s="1"/>
  <c r="AV41" i="7"/>
  <c r="AX41" i="7" s="1"/>
  <c r="AT41" i="7"/>
  <c r="AU41" i="7" s="1"/>
  <c r="AV40" i="7"/>
  <c r="AX40" i="7" s="1"/>
  <c r="AT40" i="7"/>
  <c r="AU40" i="7" s="1"/>
  <c r="AQ44" i="7"/>
  <c r="AR44" i="7" s="1"/>
  <c r="AT44" i="7"/>
  <c r="AU44" i="7" s="1"/>
  <c r="AV44" i="7"/>
  <c r="AX44" i="7" s="1"/>
  <c r="AQ52" i="7"/>
  <c r="AS52" i="7" s="1"/>
  <c r="AT52" i="7"/>
  <c r="AU52" i="7" s="1"/>
  <c r="AV52" i="7"/>
  <c r="AX52" i="7" s="1"/>
  <c r="AQ65" i="7"/>
  <c r="AR65" i="7" s="1"/>
  <c r="AV65" i="7"/>
  <c r="AX65" i="7" s="1"/>
  <c r="AT65" i="7"/>
  <c r="AU65" i="7" s="1"/>
  <c r="AQ38" i="7"/>
  <c r="AS38" i="7" s="1"/>
  <c r="AV38" i="7"/>
  <c r="AX38" i="7" s="1"/>
  <c r="AT38" i="7"/>
  <c r="AU38" i="7" s="1"/>
  <c r="AQ51" i="7"/>
  <c r="AS51" i="7" s="1"/>
  <c r="AV51" i="7"/>
  <c r="AX51" i="7" s="1"/>
  <c r="AT51" i="7"/>
  <c r="AU51" i="7" s="1"/>
  <c r="L45" i="7"/>
  <c r="AT78" i="7"/>
  <c r="AU78" i="7" s="1"/>
  <c r="AO78" i="7"/>
  <c r="C20" i="7" s="1"/>
  <c r="L78" i="7"/>
  <c r="AX78" i="7" s="1"/>
  <c r="AN42" i="7"/>
  <c r="AN50" i="7"/>
  <c r="L63" i="7"/>
  <c r="AN63" i="7"/>
  <c r="AN60" i="7"/>
  <c r="L58" i="7"/>
  <c r="AN58" i="7"/>
  <c r="AN44" i="7"/>
  <c r="AU37" i="7"/>
  <c r="AN37" i="7"/>
  <c r="AN46" i="7"/>
  <c r="AN57" i="7"/>
  <c r="AN62" i="7"/>
  <c r="AN38" i="7"/>
  <c r="L51" i="7"/>
  <c r="AN51" i="7"/>
  <c r="AN53" i="7"/>
  <c r="AN52" i="7"/>
  <c r="AN64" i="7"/>
  <c r="L39" i="7"/>
  <c r="AN39" i="7"/>
  <c r="AU48" i="7"/>
  <c r="AN48" i="7"/>
  <c r="AN59" i="7"/>
  <c r="AN61" i="7"/>
  <c r="L43" i="7"/>
  <c r="AN43" i="7"/>
  <c r="AN45" i="7"/>
  <c r="L49" i="7"/>
  <c r="AN49" i="7"/>
  <c r="AK55" i="7"/>
  <c r="AL55" i="7" s="1"/>
  <c r="L54" i="7"/>
  <c r="AK54" i="7"/>
  <c r="AL54" i="7" s="1"/>
  <c r="AL41" i="7"/>
  <c r="AM41" i="7"/>
  <c r="AN41" i="7" s="1"/>
  <c r="AM40" i="7"/>
  <c r="AN40" i="7" s="1"/>
  <c r="AL40" i="7"/>
  <c r="AN65" i="7"/>
  <c r="L53" i="7"/>
  <c r="L48" i="7"/>
  <c r="L55" i="7"/>
  <c r="C83" i="7"/>
  <c r="E83" i="7" s="1"/>
  <c r="AQ17" i="7" s="1"/>
  <c r="L42" i="7"/>
  <c r="L37" i="7"/>
  <c r="L50" i="7"/>
  <c r="L38" i="7"/>
  <c r="L41" i="7"/>
  <c r="C84" i="7"/>
  <c r="E84" i="7" s="1"/>
  <c r="AQ18" i="7" s="1"/>
  <c r="C86" i="7"/>
  <c r="E86" i="7" s="1"/>
  <c r="AQ20" i="7" s="1"/>
  <c r="L62" i="7"/>
  <c r="L59" i="7"/>
  <c r="L57" i="7"/>
  <c r="L46" i="7"/>
  <c r="L65" i="7"/>
  <c r="L61" i="7"/>
  <c r="L44" i="7"/>
  <c r="C85" i="7"/>
  <c r="E85" i="7" s="1"/>
  <c r="AQ19" i="7" s="1"/>
  <c r="L52" i="7"/>
  <c r="L60" i="7"/>
  <c r="L40" i="7"/>
  <c r="L64" i="7"/>
  <c r="AR48" i="7" l="1"/>
  <c r="AR53" i="7"/>
  <c r="AS60" i="7"/>
  <c r="C18" i="7"/>
  <c r="AS49" i="7"/>
  <c r="C17" i="7"/>
  <c r="AR38" i="7"/>
  <c r="AS59" i="7"/>
  <c r="AR42" i="7"/>
  <c r="AR62" i="7"/>
  <c r="AS50" i="7"/>
  <c r="AS61" i="7"/>
  <c r="AR51" i="7"/>
  <c r="AS39" i="7"/>
  <c r="AS46" i="7"/>
  <c r="AS44" i="7"/>
  <c r="AS63" i="7"/>
  <c r="AR52" i="7"/>
  <c r="AA80" i="7"/>
  <c r="C14" i="7" s="1"/>
  <c r="AS43" i="7"/>
  <c r="AS45" i="7"/>
  <c r="AR58" i="7"/>
  <c r="AR64" i="7"/>
  <c r="AS57" i="7"/>
  <c r="AS37" i="7"/>
  <c r="AS65" i="7"/>
  <c r="O86" i="7"/>
  <c r="O83" i="7"/>
  <c r="O84" i="7"/>
  <c r="O85" i="7"/>
  <c r="AR78" i="7"/>
  <c r="C22" i="7"/>
  <c r="S80" i="7"/>
  <c r="O80" i="7"/>
  <c r="Q80" i="7"/>
  <c r="X80" i="7"/>
  <c r="C15" i="7" s="1"/>
  <c r="O88" i="7" l="1"/>
  <c r="U80" i="7"/>
  <c r="V80" i="7"/>
  <c r="C19" i="7" s="1"/>
</calcChain>
</file>

<file path=xl/sharedStrings.xml><?xml version="1.0" encoding="utf-8"?>
<sst xmlns="http://schemas.openxmlformats.org/spreadsheetml/2006/main" count="285" uniqueCount="219">
  <si>
    <t>Stof</t>
  </si>
  <si>
    <t>A</t>
  </si>
  <si>
    <t>B</t>
  </si>
  <si>
    <t>C</t>
  </si>
  <si>
    <t>projectnummer :</t>
  </si>
  <si>
    <t>os</t>
  </si>
  <si>
    <t>lokatie of partij :</t>
  </si>
  <si>
    <t>–</t>
  </si>
  <si>
    <t>Wonen</t>
  </si>
  <si>
    <t>Industrie</t>
  </si>
  <si>
    <t>Parameters:</t>
  </si>
  <si>
    <t>toetsing door :</t>
  </si>
  <si>
    <t>datum toetsing :</t>
  </si>
  <si>
    <t>laboratorium :</t>
  </si>
  <si>
    <t>Perfluor-n-butaanzuur (PFBA)</t>
  </si>
  <si>
    <t>Perfluorpentaanzuur(PFPeA)</t>
  </si>
  <si>
    <t>Perfluor-n-hexaanzuur (PFHxA)</t>
  </si>
  <si>
    <t>Perfluor-n-heptaanzuur (PFHpa)</t>
  </si>
  <si>
    <t>Perfluor-n-nonaanzuur (PFNA)</t>
  </si>
  <si>
    <t>Perfluor-n-decaanzuur (PFDeA)</t>
  </si>
  <si>
    <t>Perfluorundecaanzuur (PFUnDA)</t>
  </si>
  <si>
    <t>Perfluordodecaanzuur (PFDoDA)</t>
  </si>
  <si>
    <t>Perfluortridecaanzuur (PFTrDA)</t>
  </si>
  <si>
    <t>Perfluortetradecaanzuur (PFTeDA)</t>
  </si>
  <si>
    <t>Perfluorohexadecaanzuur (PFHxDA)</t>
  </si>
  <si>
    <t>Perfluorooctadecaanzuur (PFODA)</t>
  </si>
  <si>
    <t>Perfluorbutaansulfonaat (PFBS)</t>
  </si>
  <si>
    <t>Perfluorpentaansulfonaat (PFPeS)</t>
  </si>
  <si>
    <t>Perfluorhexaansulfonaat (PFHxS)</t>
  </si>
  <si>
    <t>Perfluorheptaansulfonaat (PFHpS)</t>
  </si>
  <si>
    <t>Perfluordecaansulfonaat (PFDS)</t>
  </si>
  <si>
    <t>4:2 Fluortelomeer sulfonzuur</t>
  </si>
  <si>
    <t>6:2 Fluortelomeer sulfonzuur</t>
  </si>
  <si>
    <t>8:2 Fluortelomeer sulfonzuur (8:2)</t>
  </si>
  <si>
    <t>10:2 Fluortelomeer sulfonzuur</t>
  </si>
  <si>
    <t>Perfluoroctaansulfonamide (PFOSA)</t>
  </si>
  <si>
    <t>8:2 Fluortelomeer fosfaat diester (8:2 diPAP)</t>
  </si>
  <si>
    <t>Perfluoroctaansulfonamide(N-ethyl)acetaat (EtFOSAA)</t>
  </si>
  <si>
    <t>N-methyl perfluoroctaansulfonamide acetaat</t>
  </si>
  <si>
    <t>N-methyl perfluoroctaansulfonamide (MeFOSA)</t>
  </si>
  <si>
    <t>PFOS vertakt</t>
  </si>
  <si>
    <t>PFOA vertakt</t>
  </si>
  <si>
    <t>PFBA</t>
  </si>
  <si>
    <t>PFPeA</t>
  </si>
  <si>
    <t>PFHxA</t>
  </si>
  <si>
    <t>PFHpA</t>
  </si>
  <si>
    <t>PFOA</t>
  </si>
  <si>
    <t>PFNA</t>
  </si>
  <si>
    <t>PFUnDA</t>
  </si>
  <si>
    <t>PFTrDA</t>
  </si>
  <si>
    <t>PFTeDA</t>
  </si>
  <si>
    <t>PFHxDA</t>
  </si>
  <si>
    <t>PFODA</t>
  </si>
  <si>
    <t>PFBS</t>
  </si>
  <si>
    <t>PFPeS</t>
  </si>
  <si>
    <t>PFHxS</t>
  </si>
  <si>
    <t>PFHpS</t>
  </si>
  <si>
    <t>PFOS</t>
  </si>
  <si>
    <t>PFDS</t>
  </si>
  <si>
    <t>4:2 FTS</t>
  </si>
  <si>
    <t>6:2 FTS</t>
  </si>
  <si>
    <t>8:2 FTS</t>
  </si>
  <si>
    <t>10:2 FTS</t>
  </si>
  <si>
    <t>PFOSA</t>
  </si>
  <si>
    <t>8:2 diPAP</t>
  </si>
  <si>
    <t>N-EtFOSAA</t>
  </si>
  <si>
    <t>N-MeFOSAA</t>
  </si>
  <si>
    <t>N-MeFOSA</t>
  </si>
  <si>
    <t>PFAS normstelling per 8 juli 2019</t>
  </si>
  <si>
    <t>Bodemfunctieklasse</t>
  </si>
  <si>
    <t>Landbouw/natuur</t>
  </si>
  <si>
    <t>Landbouw/natuur bij Aw groter dan 0,1</t>
  </si>
  <si>
    <t>GenX</t>
  </si>
  <si>
    <t>Overige PFAS (per individuele stof)</t>
  </si>
  <si>
    <t>Interventiewaarden en normwaarden in de tabellen 1 en 2 van bijlage B en lokale maximale waarden zijn bodemtype-afhankelijk en gebaseerd op een standaardbodem met een lutum percentage van 25 % en een organische stof percentage van 10 %. Alleen de maximale waarden voor verspreiden in zoute oppervlaktewaterlichamen in tabel 2 van bijlage B en de emissiewaarden in de tabellen 1 en 2 van bijlage B zijn niet-bodemtype-afhankelijk.</t>
  </si>
  <si>
    <t>Bij de beoordeling van de kwaliteit van de bodem, bodem of oever van een oppervlaktewaterlichaam of toe te passen grond of baggerspecie op of in de bodem of in een oppervlaktewaterlichaam worden de gemeten gehalten middels een bodemtypecorrectie omgerekend naar standaardbodem. Bij de beoordeling aan de maximale waarde verspreiden in zoute oppervlaktewaterlichamen wordt geen bodemtypecorrectie toegepast. Toetsing vindt dan plaats met de werkelijk gemeten gehalten.</t>
  </si>
  <si>
    <t>De omrekening naar standaardbodem vindt plaats op basis van individuele meetwaarden, alvorens andere berekeningen (bepalen gemiddelden of P95) worden uitgevoerd. Bij het standaardiseren wordt gebruik gemaakt van de gemeten percentages organische stof en lutum. De gestandaardiseerde waarden worden, met inachtneming van de toetsingsregels, getoetst aan de normwaarden voor toepassen van grond of baggerspecie in oppervlaktewater, zoals die zijn opgenomen in de tabellen 1 en 2 van bijlage. Hierbij is het percentage aan organisch stof bepaald volgens NEN 5754. Hierbij is het percentage lutum het gewichtspercentage minerale bestanddelen met een diameter kleiner dan 2 µm betrokken op het drooggewicht.</t>
  </si>
  <si>
    <t>De omrekening van gemeten gehalten in bodem, bodem of oever van een oppervlaktewaterlichaam waterbodem, grond of baggerspecie naar een standaardbodem verloopt via de onderstaande formule:</t>
  </si>
  <si>
    <t>Hierin is:</t>
  </si>
  <si>
    <t>A,B,C Stofafhankelijke constanten voor metalen (zie tabel 3)</t>
  </si>
  <si>
    <t>% lutum Percentage lutum: het gewichtspercentage minerale bestanddelen met een diameter kleiner dan 2 µm betrokken op het totale drooggewicht van de bodem, oever grond of baggerspecie. Voor thermisch gereinigde grond en baggerspecie geldt de volgende uitzondering: indien het lutumpercentage lager is dan 10%, wordt bij de omrekening van de gemeten gehalten aan barium met een lutumpercentage van 10% gerekend.</t>
  </si>
  <si>
    <t>% organische stof Gemeten percentage organisch stof betrokken op het drooggewicht. Het percentage organisch stof kan voor zoute baggerspecie ook berekend worden uit het percentage organisch koolstof x 1,724. Voor het percentage organisch stof is een minimum en maximumwaarde gedefinieerd. Voor het percentage lutum is een minimumwaarde gedefinieerd. (zie tabel 4).</t>
  </si>
  <si>
    <t>Tabel 3 Stofafhankelijke constanten voor metalen en organische verbindingen</t>
  </si>
  <si>
    <t>Arseen</t>
  </si>
  <si>
    <t>Barium</t>
  </si>
  <si>
    <t>Berylium</t>
  </si>
  <si>
    <t>Cadmium</t>
  </si>
  <si>
    <t>Chroom</t>
  </si>
  <si>
    <t>Kobalt</t>
  </si>
  <si>
    <t>Koper</t>
  </si>
  <si>
    <t>Kwik</t>
  </si>
  <si>
    <t>Lood</t>
  </si>
  <si>
    <t>Nikkel</t>
  </si>
  <si>
    <t>Tin</t>
  </si>
  <si>
    <t>Vanadium</t>
  </si>
  <si>
    <t>Zink</t>
  </si>
  <si>
    <t>Organische verbindingen</t>
  </si>
  <si>
    <t>Overige verbindingen</t>
  </si>
  <si>
    <t>Tabel 4 minimum en maximum waarde</t>
  </si>
  <si>
    <t>% organische stof</t>
  </si>
  <si>
    <t>% lutum</t>
  </si>
  <si>
    <t>stofgroep</t>
  </si>
  <si>
    <t>Minimum</t>
  </si>
  <si>
    <t>Maximum</t>
  </si>
  <si>
    <t>Anorganische parameters</t>
  </si>
  <si>
    <t>Organische parameters</t>
  </si>
  <si>
    <t>PAK's</t>
  </si>
  <si>
    <t>De berekening van de meersoorten Potentieel Aangetast Fractie (msPAF) als aparte normwaarde bij het beoordelen van de kwaliteit van baggerspecie die conform artikel 35, onderdeel f, van het Besluit bodemkwaliteit wordt verspreid op het aangrenzend perceel heeft een aparte vorm van standaardisatie. De minimum en maximumwaarden zoals opgenomen in tabel 4 worden niet gehanteerd bij het berekenen van de msPAF, met uitzondering van de minimumwaarde voor de organische parameters genoemd in deze tabel.</t>
  </si>
  <si>
    <r>
      <t>III. Formules bodemtypecorrectie bodem, bodem of oever van een oppervlaktewaterlichaam, bij toepassing en verspreiden van grond of baggerspecie volgens de toetsingskaders in </t>
    </r>
    <r>
      <rPr>
        <b/>
        <u/>
        <sz val="9"/>
        <color rgb="FF154273"/>
        <rFont val="Calibri"/>
        <family val="2"/>
        <scheme val="minor"/>
      </rPr>
      <t>paragraaf 2</t>
    </r>
    <r>
      <rPr>
        <b/>
        <sz val="9"/>
        <color rgb="FF333333"/>
        <rFont val="Calibri"/>
        <family val="2"/>
        <scheme val="minor"/>
      </rPr>
      <t> en </t>
    </r>
    <r>
      <rPr>
        <b/>
        <u/>
        <sz val="9"/>
        <color rgb="FF154273"/>
        <rFont val="Calibri"/>
        <family val="2"/>
        <scheme val="minor"/>
      </rPr>
      <t>3 van afdeling 2 van hoofdstuk 4 van het Besluit bodemkwaliteit</t>
    </r>
    <r>
      <rPr>
        <b/>
        <sz val="9"/>
        <color rgb="FF333333"/>
        <rFont val="Calibri"/>
        <family val="2"/>
        <scheme val="minor"/>
      </rPr>
      <t>, behorende bij de </t>
    </r>
    <r>
      <rPr>
        <b/>
        <u/>
        <sz val="9"/>
        <color rgb="FF154273"/>
        <rFont val="Calibri"/>
        <family val="2"/>
        <scheme val="minor"/>
      </rPr>
      <t>artikelen 3.9.5</t>
    </r>
    <r>
      <rPr>
        <b/>
        <sz val="9"/>
        <color rgb="FF333333"/>
        <rFont val="Calibri"/>
        <family val="2"/>
        <scheme val="minor"/>
      </rPr>
      <t>, </t>
    </r>
    <r>
      <rPr>
        <b/>
        <u/>
        <sz val="9"/>
        <color rgb="FF154273"/>
        <rFont val="Calibri"/>
        <family val="2"/>
        <scheme val="minor"/>
      </rPr>
      <t>4. 2.1</t>
    </r>
    <r>
      <rPr>
        <b/>
        <sz val="9"/>
        <color rgb="FF333333"/>
        <rFont val="Calibri"/>
        <family val="2"/>
        <scheme val="minor"/>
      </rPr>
      <t> en </t>
    </r>
    <r>
      <rPr>
        <b/>
        <u/>
        <sz val="9"/>
        <color rgb="FF154273"/>
        <rFont val="Calibri"/>
        <family val="2"/>
        <scheme val="minor"/>
      </rPr>
      <t>4.2.2</t>
    </r>
  </si>
  <si>
    <r>
      <t>G </t>
    </r>
    <r>
      <rPr>
        <vertAlign val="subscript"/>
        <sz val="9"/>
        <color rgb="FF333333"/>
        <rFont val="Calibri"/>
        <family val="2"/>
        <scheme val="minor"/>
      </rPr>
      <t>standaard</t>
    </r>
    <r>
      <rPr>
        <sz val="9"/>
        <color rgb="FF333333"/>
        <rFont val="Calibri"/>
        <family val="2"/>
        <scheme val="minor"/>
      </rPr>
      <t> Gestandaardiseerd gehalte</t>
    </r>
  </si>
  <si>
    <r>
      <t>G </t>
    </r>
    <r>
      <rPr>
        <vertAlign val="subscript"/>
        <sz val="9"/>
        <color rgb="FF333333"/>
        <rFont val="Calibri"/>
        <family val="2"/>
        <scheme val="minor"/>
      </rPr>
      <t>gemeten</t>
    </r>
    <r>
      <rPr>
        <sz val="9"/>
        <color rgb="FF333333"/>
        <rFont val="Calibri"/>
        <family val="2"/>
        <scheme val="minor"/>
      </rPr>
      <t> Gemeten gehalte</t>
    </r>
  </si>
  <si>
    <r>
      <t>Antimoon</t>
    </r>
    <r>
      <rPr>
        <vertAlign val="superscript"/>
        <sz val="9"/>
        <rFont val="Calibri"/>
        <family val="2"/>
        <scheme val="minor"/>
      </rPr>
      <t>1</t>
    </r>
  </si>
  <si>
    <r>
      <t>Molybdeen</t>
    </r>
    <r>
      <rPr>
        <vertAlign val="superscript"/>
        <sz val="9"/>
        <rFont val="Calibri"/>
        <family val="2"/>
        <scheme val="minor"/>
      </rPr>
      <t>1</t>
    </r>
  </si>
  <si>
    <r>
      <t>Thallium</t>
    </r>
    <r>
      <rPr>
        <vertAlign val="superscript"/>
        <sz val="9"/>
        <rFont val="Calibri"/>
        <family val="2"/>
        <scheme val="minor"/>
      </rPr>
      <t>1</t>
    </r>
  </si>
  <si>
    <r>
      <t>1</t>
    </r>
    <r>
      <rPr>
        <sz val="9"/>
        <color rgb="FF333333"/>
        <rFont val="Calibri"/>
        <family val="2"/>
        <scheme val="minor"/>
      </rPr>
      <t> Voor antimoon, molybdeen en thallium wordt geen bodemtypecorrectie gehanteerd.</t>
    </r>
  </si>
  <si>
    <t>PFAS is organisch</t>
  </si>
  <si>
    <t>verh. Meting</t>
  </si>
  <si>
    <t xml:space="preserve">Grootste verhouding meetwaarden: </t>
  </si>
  <si>
    <t>PFAS overig</t>
  </si>
  <si>
    <t>Landbouw/Natuur</t>
  </si>
  <si>
    <t>Niet toepasbaar</t>
  </si>
  <si>
    <t>L/N :</t>
  </si>
  <si>
    <t>W of I :</t>
  </si>
  <si>
    <t>NT :</t>
  </si>
  <si>
    <t>GenX :</t>
  </si>
  <si>
    <t>Overige PFAS :</t>
  </si>
  <si>
    <t>PFOS Vertakt</t>
  </si>
  <si>
    <t>PFOS Linear</t>
  </si>
  <si>
    <t>PFOA Vertakt</t>
  </si>
  <si>
    <t>PFOA Linear</t>
  </si>
  <si>
    <t>Sheetversie</t>
  </si>
  <si>
    <t>Ontwerper</t>
  </si>
  <si>
    <t>organische stof(% m/m ds)</t>
  </si>
  <si>
    <t>PFAS in µg/kg ds</t>
  </si>
  <si>
    <t xml:space="preserve">Opmerkingen : </t>
  </si>
  <si>
    <t>Datum</t>
  </si>
  <si>
    <t xml:space="preserve">Organische stof(% m/m ds) met correctie tot 30 </t>
  </si>
  <si>
    <t>Wonen of industrie</t>
  </si>
  <si>
    <t>info@bosmilieuadvies.nl</t>
  </si>
  <si>
    <t>www.bosmilieuadvies.nl</t>
  </si>
  <si>
    <t>Toets norm SOM PFOS (Linear+Vertakt) :</t>
  </si>
  <si>
    <t>Toets norm SOM PFOA (Linear+Vertakt) :</t>
  </si>
  <si>
    <t>SOM PFOA (linear+vertakt) mm 2</t>
  </si>
  <si>
    <t>SOM PFOA (linear+vertakt) mm 1</t>
  </si>
  <si>
    <t>SOM PFOS (linear+vertakt) mm 2</t>
  </si>
  <si>
    <t>SOM PFOS (linear+vertakt) mm 1</t>
  </si>
  <si>
    <t>Gemiddeld</t>
  </si>
  <si>
    <t>Individueel</t>
  </si>
  <si>
    <t>PFAS</t>
  </si>
  <si>
    <t>Monsters:</t>
  </si>
  <si>
    <t>kenmerk analysecertificaat :</t>
  </si>
  <si>
    <t>datum analysecertificaat :</t>
  </si>
  <si>
    <t>Perfluor-n-octaanzuur (PFOA linear)</t>
  </si>
  <si>
    <t>Perfluoroctaansulfonzuur (PFOS linear)</t>
  </si>
  <si>
    <t>&lt;</t>
  </si>
  <si>
    <t>correctie detectielimitieten</t>
  </si>
  <si>
    <t>Analyse met detectie -en bodemcorrectie</t>
  </si>
  <si>
    <t>Indicatief</t>
  </si>
  <si>
    <t>AP04</t>
  </si>
  <si>
    <t>Landelijk</t>
  </si>
  <si>
    <t>Lokaal</t>
  </si>
  <si>
    <t>Achtergrondwaarde</t>
  </si>
  <si>
    <t>Klasse</t>
  </si>
  <si>
    <r>
      <t xml:space="preserve">Soort onderzoek </t>
    </r>
    <r>
      <rPr>
        <b/>
        <i/>
        <sz val="8"/>
        <rFont val="Calibri"/>
        <family val="2"/>
        <scheme val="minor"/>
      </rPr>
      <t>(Indicatief of AP04)</t>
    </r>
    <r>
      <rPr>
        <i/>
        <sz val="8"/>
        <rFont val="Calibri"/>
        <family val="2"/>
        <scheme val="minor"/>
      </rPr>
      <t xml:space="preserve"> :</t>
    </r>
  </si>
  <si>
    <t>waarde</t>
  </si>
  <si>
    <t>Analyses invoeren:</t>
  </si>
  <si>
    <t>Toetswaarde</t>
  </si>
  <si>
    <t>Opmerkingen :</t>
  </si>
  <si>
    <t>HPFHpa</t>
  </si>
  <si>
    <t>(Cl-PF30NS</t>
  </si>
  <si>
    <t>EtFOSA</t>
  </si>
  <si>
    <t>MeFBSA</t>
  </si>
  <si>
    <t>PFBSA</t>
  </si>
  <si>
    <t>PFDoDa</t>
  </si>
  <si>
    <t>PFOS linear</t>
  </si>
  <si>
    <t>PFOA linear</t>
  </si>
  <si>
    <t>PFDeA</t>
  </si>
  <si>
    <t>MeFB</t>
  </si>
  <si>
    <t>Toetsing PFAS (28 of 38) :</t>
  </si>
  <si>
    <t>Toepassing in oppervlakte-water</t>
  </si>
  <si>
    <t xml:space="preserve"> SOM PFOS (Linear+Vertakt) analysewaarde lab</t>
  </si>
  <si>
    <t xml:space="preserve"> SOM PFOA (Linear+vertakt) analysewaarde lab</t>
  </si>
  <si>
    <t>PFOA (som) analysewaarde lab</t>
  </si>
  <si>
    <t>PFOS (som) analysewaarde lab</t>
  </si>
  <si>
    <t>Vrij toepasbaar in oppervlaktewater</t>
  </si>
  <si>
    <t>Vrij toepasbaar in Rijkswater</t>
  </si>
  <si>
    <t>Niet vrijliggende diepe plas in open verbinding met een Rijkswater</t>
  </si>
  <si>
    <t>Wonen / Industrie</t>
  </si>
  <si>
    <t>Grond en baggerspecie en GBT onder grondwaterniveau</t>
  </si>
  <si>
    <t>(m.u.v. grondwaterbeschermingsgebieden)</t>
  </si>
  <si>
    <t>Toepassing in Rijkswater</t>
  </si>
  <si>
    <t>Toets norm PFOS individueel Linear :</t>
  </si>
  <si>
    <t>Toets norm PFOS individueel Vertakt :</t>
  </si>
  <si>
    <t>Toets norm PFOA individueel Linear :</t>
  </si>
  <si>
    <t>Toets norm PFOA individueel Vertakt :</t>
  </si>
  <si>
    <t>Als één of meerdere PFAS gehalten zijn aangetoond boven de toepassingsnormen (7 µg/kg ds voor PFOA, 3 µg/kg ds voor PFOS, overige PFAS en GenX) , kan de partij niet meer ingedeeld worden in de kwaliteitsklasse en is deze Niet Toepasbaar. Toepassing van de partij kan alleen plaatsvinden indien in het betreffende toepassingsgebied verhoogde Lokale Maximale Waarden (LMW) door het bevoegd gezag zijn vastgesteld in het kader van gebiedsspecifiek beleid.</t>
  </si>
  <si>
    <t>Toepassing in grondwaterbeschermingsgebied :</t>
  </si>
  <si>
    <t>Toepassing in Grondwater-beschermings-gebied</t>
  </si>
  <si>
    <t>In Rijkswater en in Niet vrijliggende diepe plas in open verbinding met een Rijkswater :</t>
  </si>
  <si>
    <t>Toepassing in grondwaterbeschermingsgebieden (of cf. gebiedskwaliteit)</t>
  </si>
  <si>
    <t>Toepassing grond en baggerspecie in oppervlaktewaterlichaam</t>
  </si>
  <si>
    <t>Andere diepe plassen</t>
  </si>
  <si>
    <t>Toepassing grond en baggerspecie op de bodem</t>
  </si>
  <si>
    <t>Landbouw / natuur</t>
  </si>
  <si>
    <t>In oppervlaktewaterlichaam en in andere diepe plas :</t>
  </si>
  <si>
    <t>Eurofins Analytico / SGS Intron</t>
  </si>
  <si>
    <t>Indien alleen toetsing monster 1 (indicatief) nodig is dan dezelfde waarden bij monster 2 hanteren (automatische invulling)</t>
  </si>
  <si>
    <r>
      <t xml:space="preserve">Toetsing aan beleid </t>
    </r>
    <r>
      <rPr>
        <b/>
        <i/>
        <sz val="8"/>
        <rFont val="Calibri"/>
        <family val="2"/>
        <scheme val="minor"/>
      </rPr>
      <t>(landelijk of lokaal)</t>
    </r>
    <r>
      <rPr>
        <i/>
        <sz val="8"/>
        <rFont val="Calibri"/>
        <family val="2"/>
        <scheme val="minor"/>
      </rPr>
      <t xml:space="preserve"> :</t>
    </r>
  </si>
  <si>
    <r>
      <t xml:space="preserve"> Resultaat NEN of AP04 onderzoek </t>
    </r>
    <r>
      <rPr>
        <b/>
        <i/>
        <sz val="8"/>
        <rFont val="Calibri"/>
        <family val="2"/>
        <scheme val="minor"/>
      </rPr>
      <t xml:space="preserve">(LN, W, I) </t>
    </r>
    <r>
      <rPr>
        <i/>
        <sz val="8"/>
        <rFont val="Calibri"/>
        <family val="2"/>
        <scheme val="minor"/>
      </rPr>
      <t>:</t>
    </r>
  </si>
  <si>
    <t>© Bosmilieuadvies BV, 2024</t>
  </si>
  <si>
    <t>Beoordeling Handelingskader PFAS december 2023</t>
  </si>
  <si>
    <t>PFAS toepassingswaarden Grond en baggerspecie december 2023 (µg/kg ds)</t>
  </si>
  <si>
    <r>
      <t xml:space="preserve">Indien blijkt dat bij de individuele PFOS/PFOA toetsing aan de </t>
    </r>
    <r>
      <rPr>
        <b/>
        <i/>
        <sz val="8"/>
        <rFont val="Calibri"/>
        <family val="2"/>
        <scheme val="minor"/>
      </rPr>
      <t xml:space="preserve">bepalingsgrens (0,1) wordt voldaan </t>
    </r>
    <r>
      <rPr>
        <i/>
        <sz val="8"/>
        <rFont val="Calibri"/>
        <family val="2"/>
        <scheme val="minor"/>
      </rPr>
      <t>aan toepassing Landbouw/Natuur dan geldt de toepassingsmogelijkheid van Landbouw/Natuur en hoeft de som niet getoetst te worden.</t>
    </r>
    <r>
      <rPr>
        <b/>
        <i/>
        <sz val="8"/>
        <rFont val="Calibri"/>
        <family val="2"/>
        <scheme val="minor"/>
      </rPr>
      <t xml:space="preserve"> LET OP: Lokaal beleid kan afwijken van het landelijk beleid!</t>
    </r>
  </si>
  <si>
    <t>Landbouw/natuur bij groter dan 1,4/1,9 en &lt; lokale  PFAS</t>
  </si>
  <si>
    <t>Grootschalig toepassen (grond en baggerspecie)</t>
  </si>
  <si>
    <t>4.0</t>
  </si>
  <si>
    <t>Op 15 juni 2020 is door Eurofins Analytico aangegeven dat de sommatie van PFOS en PFOA zoals door het lab gerapporteerd correct is en niet verifieerbaar voor derden. Zodoende dienen de labwaarden aangehouden te worden evt. met correctie organische stof. Per 1 januari 2024 is Handelingskader PFAS (december 2023) van kracht geworden. Bosmilieuadvies BV is niet aansprakelijk voor eventuele onjuistheden in voorliggende toetsing. Op- en aanmerkingen graag doorgeven via onderstaande contactgegevens.</t>
  </si>
  <si>
    <t>Toepasbaar, wel meten en toetsen op uitschieters</t>
  </si>
  <si>
    <t>Indien baggerspecie dan verspreidbaar in hetzelfde oppervlaktewaterlichaam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</si>
</sst>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413]d\ mmmm\ yyyy;@"/>
    <numFmt numFmtId="166" formatCode="0.000"/>
    <numFmt numFmtId="167" formatCode="\&lt;#########0.0"/>
  </numFmts>
  <fonts count="33" x14ac:knownFonts="1">
    <font>
      <sz val="10"/>
      <name val="Arial"/>
    </font>
    <font>
      <sz val="8"/>
      <name val="Arial"/>
      <family val="2"/>
    </font>
    <font>
      <u/>
      <sz val="10"/>
      <color indexed="12"/>
      <name val="Arial"/>
      <family val="2"/>
    </font>
    <font>
      <sz val="9"/>
      <name val="Calibri"/>
      <family val="2"/>
      <scheme val="minor"/>
    </font>
    <font>
      <i/>
      <sz val="8"/>
      <color indexed="10"/>
      <name val="Calibri"/>
      <family val="2"/>
      <scheme val="minor"/>
    </font>
    <font>
      <i/>
      <sz val="8"/>
      <name val="Calibri"/>
      <family val="2"/>
      <scheme val="minor"/>
    </font>
    <font>
      <b/>
      <sz val="9"/>
      <name val="Calibri"/>
      <family val="2"/>
      <scheme val="minor"/>
    </font>
    <font>
      <sz val="8"/>
      <name val="Calibri"/>
      <family val="2"/>
      <scheme val="minor"/>
    </font>
    <font>
      <sz val="8"/>
      <color rgb="FF000000"/>
      <name val="Calibri"/>
      <family val="2"/>
      <scheme val="minor"/>
    </font>
    <font>
      <sz val="12"/>
      <name val="Calibri"/>
      <family val="2"/>
      <scheme val="minor"/>
    </font>
    <font>
      <b/>
      <sz val="12"/>
      <name val="Calibri"/>
      <family val="2"/>
      <scheme val="minor"/>
    </font>
    <font>
      <b/>
      <sz val="9"/>
      <color rgb="FF333333"/>
      <name val="Calibri"/>
      <family val="2"/>
      <scheme val="minor"/>
    </font>
    <font>
      <b/>
      <u/>
      <sz val="9"/>
      <color rgb="FF154273"/>
      <name val="Calibri"/>
      <family val="2"/>
      <scheme val="minor"/>
    </font>
    <font>
      <u/>
      <sz val="9"/>
      <color indexed="12"/>
      <name val="Calibri"/>
      <family val="2"/>
      <scheme val="minor"/>
    </font>
    <font>
      <sz val="9"/>
      <color rgb="FF333333"/>
      <name val="Calibri"/>
      <family val="2"/>
      <scheme val="minor"/>
    </font>
    <font>
      <vertAlign val="subscript"/>
      <sz val="9"/>
      <color rgb="FF333333"/>
      <name val="Calibri"/>
      <family val="2"/>
      <scheme val="minor"/>
    </font>
    <font>
      <vertAlign val="superscript"/>
      <sz val="9"/>
      <name val="Calibri"/>
      <family val="2"/>
      <scheme val="minor"/>
    </font>
    <font>
      <vertAlign val="superscript"/>
      <sz val="9"/>
      <color rgb="FF333333"/>
      <name val="Calibri"/>
      <family val="2"/>
      <scheme val="minor"/>
    </font>
    <font>
      <b/>
      <sz val="8"/>
      <name val="Calibri"/>
      <family val="2"/>
      <scheme val="minor"/>
    </font>
    <font>
      <b/>
      <i/>
      <sz val="8"/>
      <name val="Calibri"/>
      <family val="2"/>
      <scheme val="minor"/>
    </font>
    <font>
      <sz val="10"/>
      <name val="Calibri"/>
      <family val="2"/>
      <scheme val="minor"/>
    </font>
    <font>
      <i/>
      <sz val="10"/>
      <name val="Calibri"/>
      <family val="2"/>
      <scheme val="minor"/>
    </font>
    <font>
      <sz val="10"/>
      <color theme="1"/>
      <name val="Calibri"/>
      <family val="2"/>
      <scheme val="minor"/>
    </font>
    <font>
      <i/>
      <sz val="8"/>
      <color theme="1"/>
      <name val="Calibri"/>
      <family val="2"/>
      <scheme val="minor"/>
    </font>
    <font>
      <sz val="10"/>
      <name val="Arial"/>
      <family val="2"/>
    </font>
    <font>
      <b/>
      <sz val="10"/>
      <name val="Arial"/>
      <family val="2"/>
    </font>
    <font>
      <u/>
      <sz val="9"/>
      <name val="Calibri"/>
      <family val="2"/>
      <scheme val="minor"/>
    </font>
    <font>
      <sz val="9"/>
      <color rgb="FF000000"/>
      <name val="Calibri"/>
      <family val="2"/>
      <scheme val="minor"/>
    </font>
    <font>
      <b/>
      <sz val="9"/>
      <color rgb="FF000000"/>
      <name val="Calibri"/>
      <family val="2"/>
      <scheme val="minor"/>
    </font>
    <font>
      <sz val="8"/>
      <color theme="1"/>
      <name val="Calibri"/>
      <family val="2"/>
      <scheme val="minor"/>
    </font>
    <font>
      <b/>
      <sz val="8"/>
      <color rgb="FFFF0000"/>
      <name val="Calibri"/>
      <family val="2"/>
      <scheme val="minor"/>
    </font>
    <font>
      <sz val="6"/>
      <name val="Calibri"/>
      <family val="2"/>
      <scheme val="minor"/>
    </font>
    <font>
      <sz val="8"/>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s>
  <borders count="2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77">
    <xf numFmtId="0" fontId="0" fillId="0" borderId="0" xfId="0"/>
    <xf numFmtId="0" fontId="3" fillId="0" borderId="0" xfId="0" applyFont="1"/>
    <xf numFmtId="0" fontId="9" fillId="0" borderId="0" xfId="0" applyFont="1"/>
    <xf numFmtId="0" fontId="10" fillId="0" borderId="0" xfId="0" applyFont="1"/>
    <xf numFmtId="164" fontId="9" fillId="0" borderId="0" xfId="0" applyNumberFormat="1" applyFont="1" applyAlignment="1">
      <alignment horizontal="center"/>
    </xf>
    <xf numFmtId="0" fontId="10" fillId="0" borderId="0" xfId="0" applyFont="1" applyAlignment="1">
      <alignment wrapText="1"/>
    </xf>
    <xf numFmtId="0" fontId="9" fillId="0" borderId="0" xfId="0" applyFont="1" applyAlignment="1">
      <alignment horizontal="right"/>
    </xf>
    <xf numFmtId="0" fontId="11" fillId="0" borderId="0" xfId="0" applyFont="1"/>
    <xf numFmtId="0" fontId="13" fillId="0" borderId="0" xfId="1" applyFont="1" applyAlignment="1" applyProtection="1"/>
    <xf numFmtId="0" fontId="14" fillId="0" borderId="0" xfId="0" applyFont="1"/>
    <xf numFmtId="0" fontId="6" fillId="0" borderId="0" xfId="0" applyFont="1"/>
    <xf numFmtId="0" fontId="17" fillId="0" borderId="0" xfId="0" applyFont="1"/>
    <xf numFmtId="0" fontId="3" fillId="2" borderId="0" xfId="0" applyFont="1" applyFill="1"/>
    <xf numFmtId="0" fontId="7" fillId="0" borderId="0" xfId="0" applyFont="1" applyAlignment="1" applyProtection="1">
      <alignment horizontal="right"/>
      <protection hidden="1"/>
    </xf>
    <xf numFmtId="0" fontId="7" fillId="0" borderId="0" xfId="0" applyFont="1" applyProtection="1">
      <protection hidden="1"/>
    </xf>
    <xf numFmtId="0" fontId="8" fillId="0" borderId="0" xfId="0" applyFont="1" applyProtection="1">
      <protection hidden="1"/>
    </xf>
    <xf numFmtId="0" fontId="8" fillId="0" borderId="0" xfId="0" applyFont="1" applyAlignment="1" applyProtection="1">
      <alignment horizontal="right"/>
      <protection hidden="1"/>
    </xf>
    <xf numFmtId="0" fontId="7" fillId="0" borderId="0" xfId="1" applyFont="1" applyBorder="1" applyAlignment="1" applyProtection="1">
      <alignment vertical="top"/>
      <protection hidden="1"/>
    </xf>
    <xf numFmtId="0" fontId="5" fillId="0" borderId="0" xfId="0" applyFont="1" applyAlignment="1" applyProtection="1">
      <alignment horizontal="right"/>
      <protection hidden="1"/>
    </xf>
    <xf numFmtId="0" fontId="5" fillId="0" borderId="0" xfId="0" applyFont="1" applyAlignment="1" applyProtection="1">
      <alignment horizontal="right" vertical="center" wrapText="1"/>
      <protection hidden="1"/>
    </xf>
    <xf numFmtId="0" fontId="18" fillId="0" borderId="0" xfId="0" applyFont="1" applyAlignment="1" applyProtection="1">
      <alignment horizontal="center" vertical="top" wrapText="1"/>
      <protection hidden="1"/>
    </xf>
    <xf numFmtId="164" fontId="18" fillId="0" borderId="0" xfId="0" applyNumberFormat="1" applyFont="1" applyAlignment="1" applyProtection="1">
      <alignment horizontal="center" vertical="top" wrapText="1"/>
      <protection hidden="1"/>
    </xf>
    <xf numFmtId="0" fontId="18" fillId="0" borderId="0" xfId="0" applyFont="1" applyAlignment="1" applyProtection="1">
      <alignment horizontal="right"/>
      <protection hidden="1"/>
    </xf>
    <xf numFmtId="0" fontId="18" fillId="0" borderId="0" xfId="0" applyFont="1" applyAlignment="1" applyProtection="1">
      <alignment horizontal="left"/>
      <protection hidden="1"/>
    </xf>
    <xf numFmtId="0" fontId="18" fillId="0" borderId="0" xfId="0" applyFont="1" applyAlignment="1" applyProtection="1">
      <alignment wrapText="1"/>
      <protection hidden="1"/>
    </xf>
    <xf numFmtId="0" fontId="18" fillId="0" borderId="0" xfId="0" applyFont="1" applyAlignment="1" applyProtection="1">
      <alignment vertical="top"/>
      <protection hidden="1"/>
    </xf>
    <xf numFmtId="0" fontId="5" fillId="0" borderId="0" xfId="0" applyFont="1" applyAlignment="1" applyProtection="1">
      <alignment horizontal="right" wrapText="1"/>
      <protection hidden="1"/>
    </xf>
    <xf numFmtId="0" fontId="7" fillId="0" borderId="4" xfId="0" applyFont="1" applyBorder="1" applyProtection="1">
      <protection hidden="1"/>
    </xf>
    <xf numFmtId="0" fontId="7" fillId="0" borderId="3" xfId="0" applyFont="1" applyBorder="1" applyProtection="1">
      <protection hidden="1"/>
    </xf>
    <xf numFmtId="0" fontId="7" fillId="0" borderId="0" xfId="0" applyFont="1" applyAlignment="1" applyProtection="1">
      <alignment horizontal="center"/>
      <protection hidden="1"/>
    </xf>
    <xf numFmtId="0" fontId="18" fillId="0" borderId="0" xfId="0" applyFont="1" applyProtection="1">
      <protection hidden="1"/>
    </xf>
    <xf numFmtId="2" fontId="7" fillId="0" borderId="0" xfId="0" applyNumberFormat="1" applyFont="1" applyProtection="1">
      <protection hidden="1"/>
    </xf>
    <xf numFmtId="2" fontId="7" fillId="0" borderId="0" xfId="0" applyNumberFormat="1" applyFont="1" applyAlignment="1" applyProtection="1">
      <alignment horizontal="center"/>
      <protection hidden="1"/>
    </xf>
    <xf numFmtId="1" fontId="7" fillId="0" borderId="0" xfId="0" applyNumberFormat="1" applyFont="1" applyAlignment="1" applyProtection="1">
      <alignment horizontal="center"/>
      <protection hidden="1"/>
    </xf>
    <xf numFmtId="164" fontId="7" fillId="0" borderId="0" xfId="0" applyNumberFormat="1" applyFont="1" applyAlignment="1" applyProtection="1">
      <alignment horizontal="center"/>
      <protection hidden="1"/>
    </xf>
    <xf numFmtId="1" fontId="7" fillId="0" borderId="0" xfId="0" applyNumberFormat="1" applyFont="1" applyProtection="1">
      <protection hidden="1"/>
    </xf>
    <xf numFmtId="0" fontId="18" fillId="0" borderId="0" xfId="0" applyFont="1" applyAlignment="1" applyProtection="1">
      <alignment horizontal="center"/>
      <protection hidden="1"/>
    </xf>
    <xf numFmtId="164" fontId="18" fillId="0" borderId="7" xfId="0" applyNumberFormat="1" applyFont="1" applyBorder="1" applyAlignment="1" applyProtection="1">
      <alignment horizontal="center" vertical="center" wrapText="1"/>
      <protection hidden="1"/>
    </xf>
    <xf numFmtId="0" fontId="7" fillId="0" borderId="0" xfId="0" applyFont="1" applyAlignment="1" applyProtection="1">
      <alignment vertical="top"/>
      <protection hidden="1"/>
    </xf>
    <xf numFmtId="0" fontId="7" fillId="0" borderId="0" xfId="0" applyFont="1" applyAlignment="1" applyProtection="1">
      <alignment wrapText="1"/>
      <protection hidden="1"/>
    </xf>
    <xf numFmtId="0" fontId="7" fillId="0" borderId="4" xfId="0" applyFont="1" applyBorder="1" applyAlignment="1" applyProtection="1">
      <alignment wrapText="1"/>
      <protection hidden="1"/>
    </xf>
    <xf numFmtId="0" fontId="5" fillId="0" borderId="0" xfId="0" applyFont="1" applyAlignment="1" applyProtection="1">
      <alignment horizontal="left" vertical="center" wrapText="1"/>
      <protection hidden="1"/>
    </xf>
    <xf numFmtId="0" fontId="20" fillId="0" borderId="0" xfId="0" applyFont="1" applyAlignment="1">
      <alignment horizontal="left" vertical="center" wrapText="1"/>
    </xf>
    <xf numFmtId="166" fontId="18" fillId="0" borderId="0" xfId="0" applyNumberFormat="1" applyFont="1" applyAlignment="1" applyProtection="1">
      <alignment horizontal="center"/>
      <protection hidden="1"/>
    </xf>
    <xf numFmtId="0" fontId="7" fillId="0" borderId="1" xfId="0" applyFont="1" applyBorder="1" applyProtection="1">
      <protection hidden="1"/>
    </xf>
    <xf numFmtId="0" fontId="7" fillId="0" borderId="2" xfId="0" applyFont="1" applyBorder="1" applyProtection="1">
      <protection hidden="1"/>
    </xf>
    <xf numFmtId="0" fontId="7" fillId="0" borderId="0" xfId="0" applyFont="1" applyAlignment="1" applyProtection="1">
      <alignment vertical="center"/>
      <protection hidden="1"/>
    </xf>
    <xf numFmtId="0" fontId="18" fillId="0" borderId="0" xfId="0" applyFont="1" applyAlignment="1" applyProtection="1">
      <alignment horizontal="center" vertical="center"/>
      <protection hidden="1"/>
    </xf>
    <xf numFmtId="0" fontId="7" fillId="0" borderId="5" xfId="0" applyFont="1" applyBorder="1" applyProtection="1">
      <protection hidden="1"/>
    </xf>
    <xf numFmtId="0" fontId="7" fillId="0" borderId="6" xfId="0" applyFont="1" applyBorder="1" applyProtection="1">
      <protection hidden="1"/>
    </xf>
    <xf numFmtId="0" fontId="20" fillId="0" borderId="0" xfId="0" applyFont="1" applyAlignment="1">
      <alignment vertical="center" wrapText="1"/>
    </xf>
    <xf numFmtId="0" fontId="19" fillId="0" borderId="0" xfId="0" applyFont="1" applyAlignment="1" applyProtection="1">
      <alignment horizontal="right" vertical="top" wrapText="1"/>
      <protection hidden="1"/>
    </xf>
    <xf numFmtId="0" fontId="5" fillId="0" borderId="0" xfId="0" applyFont="1" applyAlignment="1" applyProtection="1">
      <alignment horizontal="center" vertical="center"/>
      <protection hidden="1"/>
    </xf>
    <xf numFmtId="0" fontId="4" fillId="0" borderId="0" xfId="0" applyFont="1" applyAlignment="1" applyProtection="1">
      <alignment horizontal="center" wrapText="1"/>
      <protection hidden="1"/>
    </xf>
    <xf numFmtId="0" fontId="0" fillId="0" borderId="0" xfId="0" applyAlignment="1">
      <alignment wrapText="1"/>
    </xf>
    <xf numFmtId="0" fontId="24" fillId="0" borderId="7" xfId="0" applyFont="1" applyBorder="1" applyAlignment="1">
      <alignment horizontal="right" vertical="center" wrapText="1"/>
    </xf>
    <xf numFmtId="2" fontId="7" fillId="0" borderId="7" xfId="0" applyNumberFormat="1" applyFont="1" applyBorder="1" applyProtection="1">
      <protection hidden="1"/>
    </xf>
    <xf numFmtId="166" fontId="18" fillId="0" borderId="7" xfId="0" applyNumberFormat="1" applyFont="1" applyBorder="1" applyAlignment="1" applyProtection="1">
      <alignment horizontal="center"/>
      <protection hidden="1"/>
    </xf>
    <xf numFmtId="164" fontId="7" fillId="0" borderId="7" xfId="0" applyNumberFormat="1" applyFont="1" applyBorder="1" applyAlignment="1" applyProtection="1">
      <alignment horizontal="center"/>
      <protection hidden="1"/>
    </xf>
    <xf numFmtId="167" fontId="0" fillId="0" borderId="0" xfId="0" applyNumberFormat="1"/>
    <xf numFmtId="2" fontId="7" fillId="0" borderId="7" xfId="0" applyNumberFormat="1" applyFont="1" applyBorder="1" applyAlignment="1" applyProtection="1">
      <alignment horizontal="center"/>
      <protection locked="0"/>
    </xf>
    <xf numFmtId="0" fontId="26" fillId="0" borderId="0" xfId="0" applyFont="1" applyAlignment="1" applyProtection="1">
      <alignment horizontal="right"/>
      <protection hidden="1"/>
    </xf>
    <xf numFmtId="0" fontId="3" fillId="0" borderId="0" xfId="0" applyFont="1" applyProtection="1">
      <protection hidden="1"/>
    </xf>
    <xf numFmtId="0" fontId="3" fillId="0" borderId="0" xfId="0" applyFont="1" applyAlignment="1" applyProtection="1">
      <alignment horizontal="right"/>
      <protection hidden="1"/>
    </xf>
    <xf numFmtId="166" fontId="3" fillId="0" borderId="0" xfId="0" applyNumberFormat="1" applyFont="1" applyProtection="1">
      <protection hidden="1"/>
    </xf>
    <xf numFmtId="0" fontId="27" fillId="0" borderId="0" xfId="0" applyFont="1" applyAlignment="1" applyProtection="1">
      <alignment horizontal="right"/>
      <protection hidden="1"/>
    </xf>
    <xf numFmtId="0" fontId="28" fillId="0" borderId="0" xfId="0" applyFont="1" applyAlignment="1" applyProtection="1">
      <alignment horizontal="right"/>
      <protection hidden="1"/>
    </xf>
    <xf numFmtId="0" fontId="7" fillId="0" borderId="11" xfId="0" applyFont="1" applyBorder="1" applyProtection="1">
      <protection hidden="1"/>
    </xf>
    <xf numFmtId="0" fontId="7" fillId="0" borderId="12" xfId="0" applyFont="1" applyBorder="1" applyProtection="1">
      <protection hidden="1"/>
    </xf>
    <xf numFmtId="0" fontId="30" fillId="0" borderId="0" xfId="0" applyFont="1" applyProtection="1">
      <protection hidden="1"/>
    </xf>
    <xf numFmtId="0" fontId="26" fillId="0" borderId="0" xfId="0" applyFont="1" applyProtection="1">
      <protection hidden="1"/>
    </xf>
    <xf numFmtId="0" fontId="24" fillId="0" borderId="0" xfId="0" applyFont="1" applyAlignment="1">
      <alignment horizontal="right"/>
    </xf>
    <xf numFmtId="0" fontId="31" fillId="0" borderId="7" xfId="0" applyFont="1" applyBorder="1" applyAlignment="1" applyProtection="1">
      <alignment horizontal="center"/>
      <protection hidden="1"/>
    </xf>
    <xf numFmtId="0" fontId="31" fillId="0" borderId="7" xfId="0" applyFont="1" applyBorder="1" applyAlignment="1">
      <alignment horizontal="center"/>
    </xf>
    <xf numFmtId="0" fontId="3" fillId="0" borderId="7" xfId="0" applyFont="1" applyBorder="1" applyAlignment="1" applyProtection="1">
      <alignment horizontal="center"/>
      <protection locked="0" hidden="1"/>
    </xf>
    <xf numFmtId="0" fontId="7" fillId="0" borderId="0" xfId="0" applyFont="1" applyAlignment="1" applyProtection="1">
      <alignment horizontal="center" vertical="center"/>
      <protection hidden="1"/>
    </xf>
    <xf numFmtId="0" fontId="32" fillId="0" borderId="7" xfId="0" applyFont="1" applyBorder="1" applyProtection="1">
      <protection locked="0" hidden="1"/>
    </xf>
    <xf numFmtId="0" fontId="18" fillId="0" borderId="7" xfId="0" applyFont="1" applyBorder="1" applyAlignment="1" applyProtection="1">
      <alignment horizontal="center"/>
      <protection hidden="1"/>
    </xf>
    <xf numFmtId="164" fontId="18" fillId="0" borderId="7" xfId="0" applyNumberFormat="1" applyFont="1" applyBorder="1" applyAlignment="1" applyProtection="1">
      <alignment horizontal="center"/>
      <protection hidden="1"/>
    </xf>
    <xf numFmtId="0" fontId="8" fillId="2" borderId="0" xfId="0" applyFont="1" applyFill="1" applyProtection="1">
      <protection hidden="1"/>
    </xf>
    <xf numFmtId="0" fontId="30" fillId="0" borderId="7" xfId="0" applyFont="1" applyBorder="1" applyAlignment="1" applyProtection="1">
      <alignment horizontal="right"/>
      <protection locked="0" hidden="1"/>
    </xf>
    <xf numFmtId="0" fontId="7" fillId="0" borderId="0" xfId="0" applyFont="1" applyAlignment="1" applyProtection="1">
      <alignment horizontal="right" vertical="center" wrapText="1"/>
      <protection hidden="1"/>
    </xf>
    <xf numFmtId="0" fontId="24" fillId="0" borderId="0" xfId="0" applyFont="1" applyAlignment="1">
      <alignment horizontal="right" vertical="center" wrapText="1"/>
    </xf>
    <xf numFmtId="0" fontId="18" fillId="0" borderId="0" xfId="0" applyFont="1" applyAlignment="1" applyProtection="1">
      <alignment horizontal="left" vertical="center" wrapText="1"/>
      <protection hidden="1"/>
    </xf>
    <xf numFmtId="0" fontId="25" fillId="0" borderId="0" xfId="0" applyFont="1" applyAlignment="1">
      <alignment horizontal="left" vertical="center" wrapText="1"/>
    </xf>
    <xf numFmtId="0" fontId="0" fillId="0" borderId="0" xfId="0" applyAlignment="1">
      <alignment horizontal="left" vertical="center" wrapText="1"/>
    </xf>
    <xf numFmtId="164" fontId="18" fillId="0" borderId="0" xfId="0" applyNumberFormat="1" applyFont="1" applyAlignment="1" applyProtection="1">
      <alignment horizontal="center"/>
      <protection hidden="1"/>
    </xf>
    <xf numFmtId="0" fontId="0" fillId="0" borderId="0" xfId="0" applyAlignment="1">
      <alignment vertical="center" wrapText="1"/>
    </xf>
    <xf numFmtId="0" fontId="21" fillId="0" borderId="0" xfId="0" applyFont="1" applyAlignment="1">
      <alignment wrapText="1"/>
    </xf>
    <xf numFmtId="0" fontId="5" fillId="0" borderId="0" xfId="0" applyFont="1" applyAlignment="1" applyProtection="1">
      <alignment horizontal="right" vertical="center"/>
      <protection hidden="1"/>
    </xf>
    <xf numFmtId="0" fontId="3" fillId="0" borderId="7" xfId="0" applyFont="1" applyBorder="1" applyAlignment="1" applyProtection="1">
      <alignment horizontal="center"/>
      <protection locked="0"/>
    </xf>
    <xf numFmtId="0" fontId="3" fillId="3" borderId="7" xfId="0" applyFont="1" applyFill="1" applyBorder="1" applyAlignment="1" applyProtection="1">
      <alignment horizontal="center"/>
      <protection locked="0"/>
    </xf>
    <xf numFmtId="0" fontId="3" fillId="3" borderId="7" xfId="0" applyFont="1" applyFill="1" applyBorder="1" applyAlignment="1" applyProtection="1">
      <alignment horizontal="center"/>
      <protection locked="0" hidden="1"/>
    </xf>
    <xf numFmtId="0" fontId="30" fillId="0" borderId="0" xfId="0" applyFont="1" applyAlignment="1" applyProtection="1">
      <alignment horizontal="right"/>
      <protection locked="0" hidden="1"/>
    </xf>
    <xf numFmtId="0" fontId="18" fillId="0" borderId="0" xfId="0" applyFont="1" applyAlignment="1" applyProtection="1">
      <alignment horizontal="center"/>
      <protection locked="0" hidden="1"/>
    </xf>
    <xf numFmtId="0" fontId="7" fillId="0" borderId="7" xfId="0" applyFont="1" applyBorder="1" applyProtection="1">
      <protection hidden="1"/>
    </xf>
    <xf numFmtId="0" fontId="7" fillId="0" borderId="13" xfId="0" applyFont="1" applyBorder="1" applyProtection="1">
      <protection hidden="1"/>
    </xf>
    <xf numFmtId="0" fontId="7" fillId="0" borderId="14" xfId="0" applyFont="1" applyBorder="1" applyProtection="1">
      <protection hidden="1"/>
    </xf>
    <xf numFmtId="0" fontId="18" fillId="0" borderId="14" xfId="0" applyFont="1" applyBorder="1" applyAlignment="1" applyProtection="1">
      <alignment wrapText="1"/>
      <protection hidden="1"/>
    </xf>
    <xf numFmtId="0" fontId="7" fillId="0" borderId="15" xfId="0" applyFont="1" applyBorder="1" applyProtection="1">
      <protection hidden="1"/>
    </xf>
    <xf numFmtId="0" fontId="7" fillId="0" borderId="16" xfId="0" applyFont="1" applyBorder="1" applyProtection="1">
      <protection hidden="1"/>
    </xf>
    <xf numFmtId="0" fontId="18" fillId="0" borderId="17" xfId="0" applyFont="1" applyBorder="1" applyAlignment="1" applyProtection="1">
      <alignment horizontal="right"/>
      <protection hidden="1"/>
    </xf>
    <xf numFmtId="0" fontId="18" fillId="0" borderId="17" xfId="0" applyFont="1" applyBorder="1" applyAlignment="1" applyProtection="1">
      <alignment horizontal="right" vertical="center"/>
      <protection hidden="1"/>
    </xf>
    <xf numFmtId="0" fontId="0" fillId="0" borderId="0" xfId="0" applyAlignment="1">
      <alignment vertical="center"/>
    </xf>
    <xf numFmtId="0" fontId="7" fillId="0" borderId="17" xfId="0" applyFont="1" applyBorder="1" applyAlignment="1" applyProtection="1">
      <alignment horizontal="right"/>
      <protection hidden="1"/>
    </xf>
    <xf numFmtId="0" fontId="7" fillId="0" borderId="18" xfId="0" applyFont="1" applyBorder="1" applyProtection="1">
      <protection hidden="1"/>
    </xf>
    <xf numFmtId="165" fontId="7" fillId="0" borderId="0" xfId="0" applyNumberFormat="1" applyFont="1" applyAlignment="1" applyProtection="1">
      <alignment horizontal="left" vertical="center"/>
      <protection hidden="1"/>
    </xf>
    <xf numFmtId="0" fontId="7" fillId="0" borderId="17" xfId="0" applyFont="1" applyBorder="1" applyProtection="1">
      <protection hidden="1"/>
    </xf>
    <xf numFmtId="0" fontId="7" fillId="0" borderId="19" xfId="0" applyFont="1" applyBorder="1" applyProtection="1">
      <protection hidden="1"/>
    </xf>
    <xf numFmtId="0" fontId="7" fillId="0" borderId="20" xfId="0" applyFont="1" applyBorder="1" applyProtection="1">
      <protection hidden="1"/>
    </xf>
    <xf numFmtId="0" fontId="7" fillId="0" borderId="21" xfId="0" applyFont="1" applyBorder="1" applyProtection="1">
      <protection hidden="1"/>
    </xf>
    <xf numFmtId="0" fontId="7" fillId="0" borderId="22" xfId="0" applyFont="1" applyBorder="1" applyProtection="1">
      <protection hidden="1"/>
    </xf>
    <xf numFmtId="166" fontId="3" fillId="3" borderId="7" xfId="0" applyNumberFormat="1" applyFont="1" applyFill="1" applyBorder="1" applyProtection="1">
      <protection hidden="1"/>
    </xf>
    <xf numFmtId="0" fontId="18" fillId="0" borderId="0" xfId="0" applyFont="1" applyAlignment="1" applyProtection="1">
      <alignment vertical="center" wrapText="1"/>
      <protection hidden="1"/>
    </xf>
    <xf numFmtId="0" fontId="0" fillId="0" borderId="0" xfId="0"/>
    <xf numFmtId="0" fontId="18" fillId="0" borderId="7" xfId="0" applyFont="1" applyBorder="1" applyAlignment="1" applyProtection="1">
      <alignment horizontal="center"/>
      <protection hidden="1"/>
    </xf>
    <xf numFmtId="0" fontId="25" fillId="0" borderId="7" xfId="0" applyFont="1" applyBorder="1" applyAlignment="1">
      <alignment horizontal="center"/>
    </xf>
    <xf numFmtId="0" fontId="18" fillId="0" borderId="7" xfId="0" applyFont="1" applyBorder="1" applyAlignment="1" applyProtection="1">
      <alignment horizontal="center" wrapText="1"/>
      <protection hidden="1"/>
    </xf>
    <xf numFmtId="0" fontId="25" fillId="0" borderId="7" xfId="0" applyFont="1" applyBorder="1" applyAlignment="1">
      <alignment horizontal="center" wrapText="1"/>
    </xf>
    <xf numFmtId="165" fontId="7" fillId="0" borderId="0" xfId="0" applyNumberFormat="1" applyFont="1" applyAlignment="1" applyProtection="1">
      <alignment horizontal="left"/>
      <protection hidden="1"/>
    </xf>
    <xf numFmtId="0" fontId="0" fillId="0" borderId="0" xfId="0" applyAlignment="1">
      <alignment horizontal="left"/>
    </xf>
    <xf numFmtId="0" fontId="5" fillId="0" borderId="0" xfId="0" applyFont="1" applyAlignment="1" applyProtection="1">
      <alignment horizontal="left" vertical="top" wrapText="1"/>
      <protection hidden="1"/>
    </xf>
    <xf numFmtId="0" fontId="0" fillId="0" borderId="0" xfId="0" applyAlignment="1">
      <alignment horizontal="left" vertical="top" wrapText="1"/>
    </xf>
    <xf numFmtId="0" fontId="0" fillId="0" borderId="0" xfId="0" applyAlignment="1">
      <alignment wrapText="1"/>
    </xf>
    <xf numFmtId="0" fontId="0" fillId="0" borderId="18" xfId="0" applyBorder="1" applyAlignment="1">
      <alignment wrapText="1"/>
    </xf>
    <xf numFmtId="0" fontId="18" fillId="0" borderId="0" xfId="0" applyFont="1" applyAlignment="1" applyProtection="1">
      <alignment vertical="top" wrapText="1"/>
      <protection hidden="1"/>
    </xf>
    <xf numFmtId="0" fontId="5" fillId="0" borderId="0" xfId="0" applyFont="1" applyAlignment="1" applyProtection="1">
      <alignment vertical="center" wrapText="1"/>
      <protection hidden="1"/>
    </xf>
    <xf numFmtId="0" fontId="20" fillId="0" borderId="0" xfId="0" applyFont="1" applyAlignment="1">
      <alignment vertical="center" wrapText="1"/>
    </xf>
    <xf numFmtId="0" fontId="0" fillId="0" borderId="0" xfId="0" applyAlignment="1">
      <alignment vertical="center" wrapText="1"/>
    </xf>
    <xf numFmtId="0" fontId="7" fillId="0" borderId="8" xfId="0" applyFont="1" applyBorder="1" applyAlignment="1" applyProtection="1">
      <alignment horizontal="left"/>
      <protection locked="0" hidden="1"/>
    </xf>
    <xf numFmtId="0" fontId="7" fillId="0" borderId="9" xfId="0" applyFont="1" applyBorder="1" applyAlignment="1" applyProtection="1">
      <alignment horizontal="left"/>
      <protection locked="0" hidden="1"/>
    </xf>
    <xf numFmtId="0" fontId="0" fillId="0" borderId="9" xfId="0" applyBorder="1" applyAlignment="1" applyProtection="1">
      <alignment horizontal="left"/>
      <protection locked="0" hidden="1"/>
    </xf>
    <xf numFmtId="0" fontId="0" fillId="0" borderId="10" xfId="0" applyBorder="1" applyAlignment="1" applyProtection="1">
      <alignment horizontal="left"/>
      <protection locked="0" hidden="1"/>
    </xf>
    <xf numFmtId="0" fontId="7" fillId="0" borderId="8" xfId="0" applyFont="1" applyBorder="1" applyAlignment="1" applyProtection="1">
      <alignment horizontal="left"/>
      <protection locked="0"/>
    </xf>
    <xf numFmtId="0" fontId="7" fillId="0" borderId="9" xfId="0" applyFont="1" applyBorder="1" applyAlignment="1" applyProtection="1">
      <alignment horizontal="left"/>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18" fillId="0" borderId="3" xfId="0" applyFont="1" applyBorder="1" applyAlignment="1" applyProtection="1">
      <alignment horizontal="right"/>
      <protection hidden="1"/>
    </xf>
    <xf numFmtId="0" fontId="0" fillId="0" borderId="0" xfId="0" applyAlignment="1">
      <alignment horizontal="right"/>
    </xf>
    <xf numFmtId="0" fontId="7" fillId="0" borderId="3" xfId="0" applyFont="1" applyBorder="1" applyAlignment="1" applyProtection="1">
      <alignment horizontal="right"/>
      <protection hidden="1"/>
    </xf>
    <xf numFmtId="0" fontId="24" fillId="0" borderId="0" xfId="0" applyFont="1" applyAlignment="1">
      <alignment horizontal="right"/>
    </xf>
    <xf numFmtId="14" fontId="7" fillId="0" borderId="8" xfId="0" applyNumberFormat="1" applyFont="1" applyBorder="1" applyAlignment="1" applyProtection="1">
      <alignment horizontal="left"/>
      <protection locked="0" hidden="1"/>
    </xf>
    <xf numFmtId="14" fontId="7" fillId="0" borderId="9" xfId="0" applyNumberFormat="1" applyFont="1" applyBorder="1" applyAlignment="1" applyProtection="1">
      <alignment horizontal="left"/>
      <protection locked="0" hidden="1"/>
    </xf>
    <xf numFmtId="14" fontId="0" fillId="0" borderId="9" xfId="0" applyNumberFormat="1" applyBorder="1" applyAlignment="1" applyProtection="1">
      <alignment horizontal="left"/>
      <protection locked="0" hidden="1"/>
    </xf>
    <xf numFmtId="14" fontId="0" fillId="0" borderId="10" xfId="0" applyNumberFormat="1" applyBorder="1" applyAlignment="1" applyProtection="1">
      <alignment horizontal="left"/>
      <protection locked="0" hidden="1"/>
    </xf>
    <xf numFmtId="0" fontId="18" fillId="4" borderId="7" xfId="0" applyFont="1" applyFill="1" applyBorder="1" applyAlignment="1" applyProtection="1">
      <alignment vertical="center" wrapText="1"/>
      <protection hidden="1"/>
    </xf>
    <xf numFmtId="0" fontId="0" fillId="0" borderId="7" xfId="0" applyBorder="1"/>
    <xf numFmtId="0" fontId="23" fillId="0" borderId="0" xfId="0" applyFont="1" applyAlignment="1" applyProtection="1">
      <alignment horizontal="left" vertical="center" wrapText="1"/>
      <protection hidden="1"/>
    </xf>
    <xf numFmtId="0" fontId="22" fillId="0" borderId="0" xfId="0" applyFont="1" applyAlignment="1">
      <alignment horizontal="left" vertical="center" wrapText="1"/>
    </xf>
    <xf numFmtId="0" fontId="0" fillId="0" borderId="0" xfId="0" applyAlignment="1">
      <alignment horizontal="left" vertical="center" wrapText="1"/>
    </xf>
    <xf numFmtId="0" fontId="7" fillId="0" borderId="7" xfId="0" applyFont="1" applyBorder="1" applyAlignment="1" applyProtection="1">
      <alignment horizontal="right" vertical="center" wrapText="1"/>
      <protection hidden="1"/>
    </xf>
    <xf numFmtId="0" fontId="24" fillId="0" borderId="7" xfId="0" applyFont="1" applyBorder="1" applyAlignment="1">
      <alignment horizontal="right" vertical="center" wrapText="1"/>
    </xf>
    <xf numFmtId="0" fontId="18" fillId="0" borderId="0" xfId="0" applyFont="1" applyAlignment="1" applyProtection="1">
      <alignment horizontal="center"/>
      <protection hidden="1"/>
    </xf>
    <xf numFmtId="0" fontId="5" fillId="0" borderId="0" xfId="0" applyFont="1" applyAlignment="1" applyProtection="1">
      <alignment horizontal="left" vertical="center" wrapText="1"/>
      <protection hidden="1"/>
    </xf>
    <xf numFmtId="0" fontId="23" fillId="0" borderId="0" xfId="0" applyFont="1" applyAlignment="1" applyProtection="1">
      <alignment horizontal="center" wrapText="1"/>
      <protection hidden="1"/>
    </xf>
    <xf numFmtId="0" fontId="29" fillId="0" borderId="0" xfId="0" applyFont="1" applyAlignment="1">
      <alignment horizontal="center"/>
    </xf>
    <xf numFmtId="0" fontId="7" fillId="0" borderId="0" xfId="0" applyFont="1" applyAlignment="1" applyProtection="1">
      <alignment vertical="top" wrapText="1"/>
      <protection hidden="1"/>
    </xf>
    <xf numFmtId="0" fontId="7" fillId="0" borderId="0" xfId="0" applyFont="1" applyAlignment="1">
      <alignment vertical="top" wrapText="1"/>
    </xf>
    <xf numFmtId="0" fontId="18" fillId="0" borderId="0" xfId="0" applyFont="1" applyAlignment="1" applyProtection="1">
      <alignment horizontal="center" vertical="top"/>
      <protection hidden="1"/>
    </xf>
    <xf numFmtId="0" fontId="18" fillId="0" borderId="8" xfId="0" applyFont="1" applyBorder="1" applyAlignment="1" applyProtection="1">
      <alignment horizontal="left" vertical="center" wrapText="1"/>
      <protection hidden="1"/>
    </xf>
    <xf numFmtId="0" fontId="25" fillId="0" borderId="9" xfId="0" applyFont="1"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18" fillId="4" borderId="8" xfId="0" applyFont="1" applyFill="1" applyBorder="1" applyAlignment="1" applyProtection="1">
      <alignment vertical="center" wrapText="1"/>
      <protection hidden="1"/>
    </xf>
    <xf numFmtId="0" fontId="18" fillId="4" borderId="9" xfId="0" applyFont="1" applyFill="1" applyBorder="1" applyAlignment="1" applyProtection="1">
      <alignment vertical="center" wrapText="1"/>
      <protection hidden="1"/>
    </xf>
    <xf numFmtId="0" fontId="20" fillId="4" borderId="9" xfId="0" applyFont="1" applyFill="1" applyBorder="1" applyAlignment="1" applyProtection="1">
      <alignment vertical="center" wrapText="1"/>
      <protection hidden="1"/>
    </xf>
    <xf numFmtId="0" fontId="0" fillId="0" borderId="9" xfId="0" applyBorder="1" applyProtection="1">
      <protection hidden="1"/>
    </xf>
    <xf numFmtId="0" fontId="0" fillId="0" borderId="10" xfId="0" applyBorder="1" applyProtection="1">
      <protection hidden="1"/>
    </xf>
    <xf numFmtId="0" fontId="18" fillId="0" borderId="0" xfId="0" applyFont="1" applyAlignment="1" applyProtection="1">
      <alignment horizontal="left"/>
      <protection hidden="1"/>
    </xf>
    <xf numFmtId="0" fontId="18" fillId="2" borderId="8" xfId="0" applyFont="1" applyFill="1" applyBorder="1" applyAlignment="1" applyProtection="1">
      <alignment vertical="center" wrapText="1"/>
      <protection hidden="1"/>
    </xf>
    <xf numFmtId="0" fontId="18" fillId="2" borderId="9" xfId="0" applyFont="1" applyFill="1" applyBorder="1" applyAlignment="1" applyProtection="1">
      <alignment vertical="center" wrapText="1"/>
      <protection hidden="1"/>
    </xf>
    <xf numFmtId="0" fontId="20" fillId="2" borderId="9" xfId="0" applyFont="1" applyFill="1" applyBorder="1" applyAlignment="1">
      <alignment vertical="center" wrapText="1"/>
    </xf>
    <xf numFmtId="0" fontId="0" fillId="2" borderId="9" xfId="0" applyFill="1" applyBorder="1"/>
    <xf numFmtId="0" fontId="0" fillId="0" borderId="9" xfId="0" applyBorder="1"/>
    <xf numFmtId="0" fontId="0" fillId="0" borderId="10" xfId="0" applyBorder="1"/>
    <xf numFmtId="0" fontId="14" fillId="0" borderId="0" xfId="0" applyFont="1"/>
    <xf numFmtId="0" fontId="3" fillId="0" borderId="0" xfId="0" applyFont="1"/>
  </cellXfs>
  <cellStyles count="2">
    <cellStyle name="Hyperlink" xfId="1" builtinId="8"/>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91</xdr:row>
      <xdr:rowOff>0</xdr:rowOff>
    </xdr:from>
    <xdr:to>
      <xdr:col>0</xdr:col>
      <xdr:colOff>1790700</xdr:colOff>
      <xdr:row>96</xdr:row>
      <xdr:rowOff>29389</xdr:rowOff>
    </xdr:to>
    <xdr:pic>
      <xdr:nvPicPr>
        <xdr:cNvPr id="7322" name="Afbeelding 2" descr="Logo BM 2009.jpg" hidden="1">
          <a:extLst>
            <a:ext uri="{FF2B5EF4-FFF2-40B4-BE49-F238E27FC236}">
              <a16:creationId xmlns:a16="http://schemas.microsoft.com/office/drawing/2014/main" id="{00000000-0008-0000-0000-00009A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8890000"/>
          <a:ext cx="17399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564844</xdr:colOff>
      <xdr:row>101</xdr:row>
      <xdr:rowOff>115955</xdr:rowOff>
    </xdr:from>
    <xdr:to>
      <xdr:col>27</xdr:col>
      <xdr:colOff>290196</xdr:colOff>
      <xdr:row>106</xdr:row>
      <xdr:rowOff>124729</xdr:rowOff>
    </xdr:to>
    <xdr:pic>
      <xdr:nvPicPr>
        <xdr:cNvPr id="5" name="Afbeelding 2" descr="Logo BM 2009.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2075" y="16186340"/>
          <a:ext cx="1895748" cy="751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9</xdr:col>
      <xdr:colOff>495300</xdr:colOff>
      <xdr:row>15</xdr:row>
      <xdr:rowOff>127000</xdr:rowOff>
    </xdr:to>
    <xdr:pic>
      <xdr:nvPicPr>
        <xdr:cNvPr id="2" name="Afbeelding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44700"/>
          <a:ext cx="8255000"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osmilieuadvies.nl/" TargetMode="External"/><Relationship Id="rId1" Type="http://schemas.openxmlformats.org/officeDocument/2006/relationships/hyperlink" Target="mailto:info@bosmilieuadvies.n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etten.overheid.nl/jci1.3:c:BWBR0022929&amp;artikel=35&amp;g=2019-07-31&amp;z=2019-07-31" TargetMode="External"/><Relationship Id="rId1" Type="http://schemas.openxmlformats.org/officeDocument/2006/relationships/hyperlink" Target="https://wetten.overheid.nl/BWBR0023085/2018-11-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Y109"/>
  <sheetViews>
    <sheetView tabSelected="1" zoomScale="160" zoomScaleNormal="160" workbookViewId="0">
      <selection activeCell="C3" sqref="C3:J3"/>
    </sheetView>
  </sheetViews>
  <sheetFormatPr baseColWidth="10" defaultColWidth="9.1640625" defaultRowHeight="11" x14ac:dyDescent="0.15"/>
  <cols>
    <col min="1" max="1" width="53.6640625" style="14" customWidth="1"/>
    <col min="2" max="2" width="0.1640625" style="14" hidden="1" customWidth="1"/>
    <col min="3" max="3" width="6.1640625" style="14" customWidth="1"/>
    <col min="4" max="4" width="5.33203125" style="14" customWidth="1"/>
    <col min="5" max="5" width="4.83203125" style="14" customWidth="1"/>
    <col min="6" max="6" width="5" style="14" customWidth="1"/>
    <col min="7" max="7" width="4" style="14" bestFit="1" customWidth="1"/>
    <col min="8" max="8" width="4.83203125" style="14" customWidth="1"/>
    <col min="9" max="9" width="4.6640625" style="14" customWidth="1"/>
    <col min="10" max="10" width="9.5" style="14" customWidth="1"/>
    <col min="11" max="11" width="4.33203125" style="14" hidden="1" customWidth="1"/>
    <col min="12" max="12" width="10.6640625" style="14" bestFit="1" customWidth="1"/>
    <col min="13" max="13" width="6.5" style="14" customWidth="1"/>
    <col min="14" max="14" width="9.5" style="14" customWidth="1"/>
    <col min="15" max="15" width="3.6640625" style="14" hidden="1" customWidth="1"/>
    <col min="16" max="16" width="13.33203125" style="14" customWidth="1"/>
    <col min="17" max="17" width="3.6640625" style="14" hidden="1" customWidth="1"/>
    <col min="18" max="18" width="3.83203125" style="14" hidden="1" customWidth="1"/>
    <col min="19" max="19" width="1.83203125" style="14" hidden="1" customWidth="1"/>
    <col min="20" max="20" width="7.5" style="14" bestFit="1" customWidth="1"/>
    <col min="21" max="22" width="3.6640625" style="14" hidden="1" customWidth="1"/>
    <col min="23" max="23" width="10" style="14" customWidth="1"/>
    <col min="24" max="24" width="2.1640625" style="14" hidden="1" customWidth="1"/>
    <col min="25" max="25" width="11" style="14" customWidth="1"/>
    <col min="26" max="27" width="6.6640625" style="14" hidden="1" customWidth="1"/>
    <col min="28" max="28" width="9.83203125" style="14" bestFit="1" customWidth="1"/>
    <col min="29" max="29" width="6.6640625" style="14" hidden="1" customWidth="1"/>
    <col min="30" max="30" width="9.1640625" style="14" hidden="1" customWidth="1"/>
    <col min="31" max="31" width="11.83203125" style="14" hidden="1" customWidth="1"/>
    <col min="32" max="34" width="9.1640625" style="14" hidden="1" customWidth="1"/>
    <col min="35" max="36" width="9.1640625" style="14" customWidth="1"/>
    <col min="37" max="37" width="9.1640625" style="14" hidden="1" customWidth="1"/>
    <col min="38" max="52" width="0" style="14" hidden="1" customWidth="1"/>
    <col min="53" max="16384" width="9.1640625" style="14"/>
  </cols>
  <sheetData>
    <row r="1" spans="1:34" ht="13" x14ac:dyDescent="0.15">
      <c r="A1" s="168"/>
      <c r="B1" s="120"/>
      <c r="C1" s="120"/>
      <c r="D1" s="120"/>
      <c r="E1" s="23"/>
      <c r="F1" s="30"/>
      <c r="G1" s="30"/>
      <c r="H1" s="30"/>
      <c r="I1" s="30"/>
      <c r="J1" s="30"/>
      <c r="L1" s="30"/>
    </row>
    <row r="2" spans="1:34" x14ac:dyDescent="0.15">
      <c r="A2" s="22" t="s">
        <v>210</v>
      </c>
      <c r="M2" s="69" t="str">
        <f>IF(C10="lokaal","Onderstaand PFOS/PFOA/PFAS invullen omdat lokaal beleid afwijkt van landelijk beleid","")</f>
        <v/>
      </c>
      <c r="P2" s="13"/>
    </row>
    <row r="3" spans="1:34" ht="13" x14ac:dyDescent="0.15">
      <c r="A3" s="18" t="s">
        <v>11</v>
      </c>
      <c r="B3" s="13"/>
      <c r="C3" s="129"/>
      <c r="D3" s="130"/>
      <c r="E3" s="130"/>
      <c r="F3" s="131"/>
      <c r="G3" s="131"/>
      <c r="H3" s="131"/>
      <c r="I3" s="131"/>
      <c r="J3" s="132"/>
    </row>
    <row r="4" spans="1:34" ht="13" customHeight="1" x14ac:dyDescent="0.15">
      <c r="A4" s="18" t="s">
        <v>6</v>
      </c>
      <c r="B4" s="13"/>
      <c r="C4" s="129"/>
      <c r="D4" s="130"/>
      <c r="E4" s="130"/>
      <c r="F4" s="131"/>
      <c r="G4" s="131"/>
      <c r="H4" s="131"/>
      <c r="I4" s="131"/>
      <c r="J4" s="132"/>
      <c r="P4" s="22" t="str">
        <f>IF($C$10="lokaal","Bodemfunctieklasse","")</f>
        <v/>
      </c>
      <c r="T4" s="22" t="str">
        <f>IF($C$10="lokaal","PFOS","")</f>
        <v/>
      </c>
      <c r="U4" s="36"/>
      <c r="V4" s="36"/>
      <c r="W4" s="22" t="str">
        <f>IF($C$10="lokaal","PFOA","")</f>
        <v/>
      </c>
      <c r="X4" s="36"/>
      <c r="Y4" s="22" t="str">
        <f>IF($C$10="lokaal","PFAS","")</f>
        <v/>
      </c>
      <c r="Z4" s="22" t="str">
        <f>IF($C$10="lokaal","GenX","")</f>
        <v/>
      </c>
      <c r="AA4" s="22"/>
      <c r="AB4" s="22" t="str">
        <f>IF($C$10="lokaal","GenX","")</f>
        <v/>
      </c>
      <c r="AC4" s="22"/>
      <c r="AE4" s="36" t="s">
        <v>57</v>
      </c>
      <c r="AF4" s="36" t="s">
        <v>46</v>
      </c>
      <c r="AG4" s="36" t="s">
        <v>148</v>
      </c>
      <c r="AH4" s="36" t="s">
        <v>72</v>
      </c>
    </row>
    <row r="5" spans="1:34" ht="13" x14ac:dyDescent="0.15">
      <c r="A5" s="18" t="s">
        <v>13</v>
      </c>
      <c r="B5" s="13"/>
      <c r="C5" s="133" t="s">
        <v>205</v>
      </c>
      <c r="D5" s="134"/>
      <c r="E5" s="134"/>
      <c r="F5" s="135"/>
      <c r="G5" s="135"/>
      <c r="H5" s="135"/>
      <c r="I5" s="135"/>
      <c r="J5" s="136"/>
      <c r="P5" s="22" t="str">
        <f>IF($C$10="lokaal","Lokale waarden","")</f>
        <v/>
      </c>
      <c r="T5" s="80"/>
      <c r="U5" s="76"/>
      <c r="V5" s="76"/>
      <c r="W5" s="80"/>
      <c r="X5" s="76"/>
      <c r="Y5" s="80"/>
      <c r="Z5" s="95"/>
      <c r="AA5" s="95"/>
      <c r="AB5" s="80"/>
      <c r="AC5" s="93"/>
      <c r="AE5" s="94">
        <f>IF($C$10="lokaal",T5,C97)</f>
        <v>1.4</v>
      </c>
      <c r="AF5" s="94">
        <f>IF($C$10="lokaal",W5,D97)</f>
        <v>1.9</v>
      </c>
      <c r="AG5" s="94">
        <f>IF($C$10="lokaal",Y5,F97)</f>
        <v>1.4</v>
      </c>
      <c r="AH5" s="94">
        <f>IF($C$10="lokaal",AB5,E97)</f>
        <v>1.4</v>
      </c>
    </row>
    <row r="6" spans="1:34" ht="13" x14ac:dyDescent="0.15">
      <c r="A6" s="18" t="s">
        <v>150</v>
      </c>
      <c r="B6" s="13"/>
      <c r="C6" s="129"/>
      <c r="D6" s="130"/>
      <c r="E6" s="130"/>
      <c r="F6" s="131"/>
      <c r="G6" s="131"/>
      <c r="H6" s="131"/>
      <c r="I6" s="131"/>
      <c r="J6" s="132"/>
    </row>
    <row r="7" spans="1:34" ht="13" x14ac:dyDescent="0.15">
      <c r="A7" s="18" t="s">
        <v>151</v>
      </c>
      <c r="B7" s="13"/>
      <c r="C7" s="141"/>
      <c r="D7" s="142"/>
      <c r="E7" s="142"/>
      <c r="F7" s="143"/>
      <c r="G7" s="143"/>
      <c r="H7" s="143"/>
      <c r="I7" s="143"/>
      <c r="J7" s="144"/>
      <c r="K7" s="137" t="str">
        <f>A96</f>
        <v>Toepassing grond en baggerspecie op de bodem</v>
      </c>
      <c r="L7" s="138"/>
      <c r="M7" s="138"/>
      <c r="N7" s="138"/>
      <c r="O7" s="138"/>
      <c r="P7" s="138"/>
      <c r="T7" s="36" t="s">
        <v>57</v>
      </c>
      <c r="U7" s="36"/>
      <c r="V7" s="36"/>
      <c r="W7" s="36" t="s">
        <v>46</v>
      </c>
      <c r="X7" s="36"/>
      <c r="Y7" s="36" t="s">
        <v>148</v>
      </c>
      <c r="AB7" s="36" t="s">
        <v>72</v>
      </c>
      <c r="AC7" s="36"/>
    </row>
    <row r="8" spans="1:34" ht="13" x14ac:dyDescent="0.15">
      <c r="A8" s="18" t="s">
        <v>12</v>
      </c>
      <c r="B8" s="13"/>
      <c r="C8" s="141"/>
      <c r="D8" s="142"/>
      <c r="E8" s="142"/>
      <c r="F8" s="143"/>
      <c r="G8" s="143"/>
      <c r="H8" s="143"/>
      <c r="I8" s="143"/>
      <c r="J8" s="144"/>
      <c r="K8" s="139" t="str">
        <f>A97</f>
        <v>Landbouw / natuur</v>
      </c>
      <c r="L8" s="140"/>
      <c r="M8" s="140"/>
      <c r="N8" s="140"/>
      <c r="O8" s="140"/>
      <c r="P8" s="140"/>
      <c r="T8" s="77">
        <f>AE5</f>
        <v>1.4</v>
      </c>
      <c r="U8" s="77"/>
      <c r="V8" s="77"/>
      <c r="W8" s="77">
        <f>AF5</f>
        <v>1.9</v>
      </c>
      <c r="X8" s="77"/>
      <c r="Y8" s="77">
        <f>AG5</f>
        <v>1.4</v>
      </c>
      <c r="AB8" s="77">
        <f>AH5</f>
        <v>1.4</v>
      </c>
      <c r="AC8" s="36"/>
      <c r="AE8" s="44" t="s">
        <v>159</v>
      </c>
      <c r="AF8" s="45"/>
    </row>
    <row r="9" spans="1:34" ht="13" x14ac:dyDescent="0.15">
      <c r="A9" s="18" t="s">
        <v>4</v>
      </c>
      <c r="B9" s="13"/>
      <c r="C9" s="129"/>
      <c r="D9" s="130"/>
      <c r="E9" s="130"/>
      <c r="F9" s="131"/>
      <c r="G9" s="131"/>
      <c r="H9" s="131"/>
      <c r="I9" s="131"/>
      <c r="J9" s="132"/>
      <c r="K9" s="139" t="str">
        <f>A99</f>
        <v>Wonen / Industrie</v>
      </c>
      <c r="L9" s="140"/>
      <c r="M9" s="140"/>
      <c r="N9" s="140"/>
      <c r="O9" s="140"/>
      <c r="P9" s="140"/>
      <c r="T9" s="78">
        <f>C99</f>
        <v>3</v>
      </c>
      <c r="U9" s="78"/>
      <c r="V9" s="78"/>
      <c r="W9" s="78">
        <f>D99</f>
        <v>7</v>
      </c>
      <c r="X9" s="78"/>
      <c r="Y9" s="78">
        <f>F99</f>
        <v>3</v>
      </c>
      <c r="AB9" s="78">
        <f>E99</f>
        <v>3</v>
      </c>
      <c r="AC9" s="86"/>
      <c r="AE9" s="48" t="s">
        <v>160</v>
      </c>
      <c r="AF9" s="49">
        <v>2</v>
      </c>
    </row>
    <row r="10" spans="1:34" ht="13" x14ac:dyDescent="0.15">
      <c r="A10" s="18" t="s">
        <v>207</v>
      </c>
      <c r="B10" s="13"/>
      <c r="C10" s="129"/>
      <c r="D10" s="130"/>
      <c r="E10" s="130"/>
      <c r="F10" s="131"/>
      <c r="G10" s="131"/>
      <c r="H10" s="131"/>
      <c r="I10" s="131"/>
      <c r="J10" s="132"/>
      <c r="L10" s="71"/>
      <c r="M10" s="71"/>
      <c r="N10" s="71"/>
      <c r="O10" s="71"/>
      <c r="P10" s="13" t="str">
        <f>A100</f>
        <v>Grootschalig toepassen (grond en baggerspecie)</v>
      </c>
      <c r="T10" s="78">
        <f>C100</f>
        <v>3</v>
      </c>
      <c r="U10" s="78"/>
      <c r="V10" s="78"/>
      <c r="W10" s="78">
        <f>D100</f>
        <v>7</v>
      </c>
      <c r="X10" s="78"/>
      <c r="Y10" s="78">
        <f>F100</f>
        <v>3</v>
      </c>
      <c r="AB10" s="78">
        <f>E100</f>
        <v>3</v>
      </c>
      <c r="AC10" s="86"/>
      <c r="AE10" s="44" t="s">
        <v>157</v>
      </c>
      <c r="AF10" s="67" t="s">
        <v>161</v>
      </c>
    </row>
    <row r="11" spans="1:34" ht="15" customHeight="1" x14ac:dyDescent="0.15">
      <c r="A11" s="18" t="s">
        <v>163</v>
      </c>
      <c r="B11" s="13"/>
      <c r="C11" s="129"/>
      <c r="D11" s="130"/>
      <c r="E11" s="130"/>
      <c r="F11" s="131"/>
      <c r="G11" s="131"/>
      <c r="H11" s="131"/>
      <c r="I11" s="131"/>
      <c r="J11" s="132"/>
      <c r="P11" s="13" t="str">
        <f>A104</f>
        <v>Vrij toepasbaar in oppervlaktewater</v>
      </c>
      <c r="T11" s="78">
        <f>C104</f>
        <v>1.1000000000000001</v>
      </c>
      <c r="W11" s="78">
        <f>D104</f>
        <v>0.8</v>
      </c>
      <c r="Y11" s="78">
        <f>F104</f>
        <v>0.8</v>
      </c>
      <c r="AB11" s="78">
        <f>E104</f>
        <v>0.8</v>
      </c>
      <c r="AC11" s="86"/>
      <c r="AE11" s="28" t="s">
        <v>158</v>
      </c>
      <c r="AF11" s="68" t="s">
        <v>8</v>
      </c>
    </row>
    <row r="12" spans="1:34" ht="13" x14ac:dyDescent="0.15">
      <c r="A12" s="18" t="s">
        <v>208</v>
      </c>
      <c r="B12" s="13"/>
      <c r="C12" s="129"/>
      <c r="D12" s="130"/>
      <c r="E12" s="130"/>
      <c r="F12" s="131"/>
      <c r="G12" s="131"/>
      <c r="H12" s="131"/>
      <c r="I12" s="131"/>
      <c r="J12" s="132"/>
      <c r="AE12" s="48">
        <v>1</v>
      </c>
      <c r="AF12" s="68" t="s">
        <v>9</v>
      </c>
    </row>
    <row r="13" spans="1:34" ht="13" x14ac:dyDescent="0.15">
      <c r="A13" s="18" t="s">
        <v>178</v>
      </c>
      <c r="B13" s="13"/>
      <c r="C13" s="129"/>
      <c r="D13" s="130"/>
      <c r="E13" s="130"/>
      <c r="F13" s="131"/>
      <c r="G13" s="131"/>
      <c r="H13" s="131"/>
      <c r="I13" s="131"/>
      <c r="J13" s="132"/>
    </row>
    <row r="14" spans="1:34" ht="21" customHeight="1" x14ac:dyDescent="0.15">
      <c r="A14" s="89" t="s">
        <v>198</v>
      </c>
      <c r="B14" s="13"/>
      <c r="C14" s="163" t="str">
        <f>IF(AA80&gt;=1,"Niet Toepasbaar","Toepasbaar")</f>
        <v>Toepasbaar</v>
      </c>
      <c r="D14" s="164"/>
      <c r="E14" s="164"/>
      <c r="F14" s="164"/>
      <c r="G14" s="164"/>
      <c r="H14" s="165"/>
      <c r="I14" s="166"/>
      <c r="J14" s="167"/>
    </row>
    <row r="15" spans="1:34" ht="21" customHeight="1" x14ac:dyDescent="0.15">
      <c r="A15" s="19" t="s">
        <v>204</v>
      </c>
      <c r="B15" s="39"/>
      <c r="C15" s="163" t="str">
        <f>IF(X80&gt;=1,"Niet Toepasbaar","Toepasbaar")</f>
        <v>Toepasbaar</v>
      </c>
      <c r="D15" s="164"/>
      <c r="E15" s="164"/>
      <c r="F15" s="164"/>
      <c r="G15" s="164"/>
      <c r="H15" s="165"/>
      <c r="I15" s="166"/>
      <c r="J15" s="167"/>
    </row>
    <row r="16" spans="1:34" ht="21" customHeight="1" x14ac:dyDescent="0.15">
      <c r="A16" s="19" t="s">
        <v>218</v>
      </c>
      <c r="B16" s="39"/>
      <c r="C16" s="145" t="s">
        <v>217</v>
      </c>
      <c r="D16" s="146"/>
      <c r="E16" s="146"/>
      <c r="F16" s="146"/>
      <c r="G16" s="146"/>
      <c r="H16" s="146"/>
      <c r="I16" s="146"/>
      <c r="J16" s="146"/>
    </row>
    <row r="17" spans="1:51" ht="21" customHeight="1" x14ac:dyDescent="0.15">
      <c r="A17" s="19" t="s">
        <v>140</v>
      </c>
      <c r="B17" s="39"/>
      <c r="C17" s="169" t="str">
        <f>IF(AND(AQ17="",AQ18=""),"",IF(AK81="Aw","Altijd toepasbaar",IF(AK81="L/N","Altijd toepasbaar",IF(AK81="W of I","Verhoogd PFOS, toepasbaar op bodem W of I tenzij LMV verhoogd is en bij GBT","Niet Toepasbaar tenzij LMW verhoogd is"))))</f>
        <v>Altijd toepasbaar</v>
      </c>
      <c r="D17" s="170"/>
      <c r="E17" s="170"/>
      <c r="F17" s="170"/>
      <c r="G17" s="170"/>
      <c r="H17" s="171"/>
      <c r="I17" s="172"/>
      <c r="J17" s="172"/>
      <c r="K17" s="173"/>
      <c r="L17" s="174"/>
      <c r="AC17" s="85"/>
      <c r="AK17" s="150" t="s">
        <v>191</v>
      </c>
      <c r="AL17" s="151"/>
      <c r="AM17" s="151"/>
      <c r="AN17" s="46"/>
      <c r="AO17" s="46"/>
      <c r="AP17" s="46"/>
      <c r="AQ17" s="159" t="str">
        <f>IF(E83="Aw","Aw",IF(E83="L/N","Aw",IF(E83="W of I","Verhoogd PFOS","Niet Toepasbaar tenzij LMW verhoogd is")))</f>
        <v>Aw</v>
      </c>
      <c r="AR17" s="160"/>
      <c r="AS17" s="160"/>
      <c r="AT17" s="160"/>
      <c r="AU17" s="160"/>
      <c r="AV17" s="160"/>
      <c r="AW17" s="161"/>
      <c r="AX17" s="161"/>
      <c r="AY17" s="162"/>
    </row>
    <row r="18" spans="1:51" ht="21" customHeight="1" x14ac:dyDescent="0.15">
      <c r="A18" s="19" t="s">
        <v>141</v>
      </c>
      <c r="B18" s="40"/>
      <c r="C18" s="169" t="str">
        <f>IF(AND(AQ19="",AQ20=""),"",IF(AK82="Aw","Altijd toepasbaar",IF(AK82="L/N","Altijd toepasbaar",IF(AK82="W of I","Verhoogd PFOA,  toepasbaar op bodem W of I tenzij LMV verhoogd is en bij GBT","Niet Toepasbaar tenzij LMW verhoogd is"))))</f>
        <v>Altijd toepasbaar</v>
      </c>
      <c r="D18" s="170"/>
      <c r="E18" s="170"/>
      <c r="F18" s="170"/>
      <c r="G18" s="170"/>
      <c r="H18" s="171"/>
      <c r="I18" s="172"/>
      <c r="J18" s="172"/>
      <c r="K18" s="173"/>
      <c r="L18" s="174"/>
      <c r="AC18" s="85"/>
      <c r="AK18" s="150" t="s">
        <v>192</v>
      </c>
      <c r="AL18" s="151"/>
      <c r="AM18" s="151"/>
      <c r="AN18" s="46"/>
      <c r="AO18" s="46"/>
      <c r="AP18" s="46"/>
      <c r="AQ18" s="159" t="str">
        <f>IF(E84="Aw","Aw",IF(E84="L/N","Aw",IF(E84="W of I","Verhoogd PFOS","Niet Toepasbaar tenzij LMW verhoogd is")))</f>
        <v>Aw</v>
      </c>
      <c r="AR18" s="160"/>
      <c r="AS18" s="160"/>
      <c r="AT18" s="160"/>
      <c r="AU18" s="160"/>
      <c r="AV18" s="160"/>
      <c r="AW18" s="161"/>
      <c r="AX18" s="161"/>
      <c r="AY18" s="162"/>
    </row>
    <row r="19" spans="1:51" ht="21" customHeight="1" x14ac:dyDescent="0.15">
      <c r="A19" s="19" t="s">
        <v>125</v>
      </c>
      <c r="B19" s="40"/>
      <c r="C19" s="169" t="str">
        <f>IF(V80&lt;=36,"Altijd toepasbaar",IF(V80&lt;1000,"Altijd toepasbaar",IF(AND(V80&gt;=1000,V80&lt;100000),"Verhoogd PFAS,  toepasbaar op bodem W of I tenzij LMV verhoogd is en bij GBT","Niet Toepasbaar tenzij LMW verhoogd is")))</f>
        <v>Altijd toepasbaar</v>
      </c>
      <c r="D19" s="170"/>
      <c r="E19" s="170"/>
      <c r="F19" s="170"/>
      <c r="G19" s="170"/>
      <c r="H19" s="171"/>
      <c r="I19" s="172"/>
      <c r="J19" s="172"/>
      <c r="K19" s="173"/>
      <c r="L19" s="174"/>
      <c r="AC19" s="85"/>
      <c r="AK19" s="150" t="s">
        <v>193</v>
      </c>
      <c r="AL19" s="151"/>
      <c r="AM19" s="151"/>
      <c r="AN19" s="46"/>
      <c r="AO19" s="46"/>
      <c r="AP19" s="46"/>
      <c r="AQ19" s="159" t="str">
        <f>IF(E85="Aw","Aw",IF(E85="L/N","Aw",IF(E85="W of I","Verhoogd PFOS","Niet Toepasbaar tenzij LMW verhoogd is")))</f>
        <v>Aw</v>
      </c>
      <c r="AR19" s="160"/>
      <c r="AS19" s="160"/>
      <c r="AT19" s="160"/>
      <c r="AU19" s="160"/>
      <c r="AV19" s="160"/>
      <c r="AW19" s="161"/>
      <c r="AX19" s="161"/>
      <c r="AY19" s="162"/>
    </row>
    <row r="20" spans="1:51" ht="21" customHeight="1" x14ac:dyDescent="0.15">
      <c r="A20" s="19" t="s">
        <v>124</v>
      </c>
      <c r="B20" s="40"/>
      <c r="C20" s="169" t="str">
        <f>IF(AO78="-","Niet onderzocht",IF(AQ78="Aw","Altijd toepasbaar",IF(AQ78="L/N","Altijd toepasbaaar",IF(AO78="W of I"," Verhoogd GenX,  toepasbaar op bodem W of I tenzij LMV verhoogd is en bij GBT","Niet Toepasbaar tenzij LMW verhoogd is"))))</f>
        <v>Niet onderzocht</v>
      </c>
      <c r="D20" s="170"/>
      <c r="E20" s="170"/>
      <c r="F20" s="170"/>
      <c r="G20" s="170"/>
      <c r="H20" s="171"/>
      <c r="I20" s="172"/>
      <c r="J20" s="172"/>
      <c r="K20" s="173"/>
      <c r="L20" s="174"/>
      <c r="AC20" s="85"/>
      <c r="AK20" s="150" t="s">
        <v>194</v>
      </c>
      <c r="AL20" s="151"/>
      <c r="AM20" s="151"/>
      <c r="AN20" s="46"/>
      <c r="AO20" s="46"/>
      <c r="AP20" s="46"/>
      <c r="AQ20" s="159" t="str">
        <f>IF(E86="Aw","Aw",IF(E86="L/N","Aw",IF(E86="W of I","Verhoogd PFOS","Niet Toepasbaar tenzij LMW verhoogd is")))</f>
        <v>Aw</v>
      </c>
      <c r="AR20" s="160"/>
      <c r="AS20" s="160"/>
      <c r="AT20" s="160"/>
      <c r="AU20" s="160"/>
      <c r="AV20" s="160"/>
      <c r="AW20" s="161"/>
      <c r="AX20" s="161"/>
      <c r="AY20" s="162"/>
    </row>
    <row r="21" spans="1:51" ht="21" customHeight="1" x14ac:dyDescent="0.15">
      <c r="A21" s="19" t="s">
        <v>196</v>
      </c>
      <c r="B21" s="40"/>
      <c r="C21" s="169" t="str">
        <f>IF(AC80&gt;=1,"Niet Toepasbaar, tenzij de gebiedskwaliteit verhoogde waarden toestaat","Toepasbaar")</f>
        <v>Toepasbaar</v>
      </c>
      <c r="D21" s="170"/>
      <c r="E21" s="170"/>
      <c r="F21" s="170"/>
      <c r="G21" s="170"/>
      <c r="H21" s="171"/>
      <c r="I21" s="172"/>
      <c r="J21" s="172"/>
      <c r="K21" s="173"/>
      <c r="L21" s="174"/>
      <c r="N21" s="81"/>
      <c r="O21" s="82"/>
      <c r="P21" s="82"/>
      <c r="Q21" s="46"/>
      <c r="R21" s="46"/>
      <c r="S21" s="46"/>
      <c r="T21" s="83"/>
      <c r="U21" s="84"/>
      <c r="V21" s="84"/>
      <c r="W21" s="84"/>
      <c r="X21" s="84"/>
      <c r="Y21" s="84"/>
      <c r="Z21" s="85"/>
      <c r="AA21" s="85"/>
      <c r="AB21" s="85"/>
      <c r="AC21" s="85"/>
    </row>
    <row r="22" spans="1:51" ht="17.25" customHeight="1" x14ac:dyDescent="0.15">
      <c r="A22" s="19" t="s">
        <v>117</v>
      </c>
      <c r="B22" s="55"/>
      <c r="C22" s="37">
        <f>MAX(L36:L92)</f>
        <v>1</v>
      </c>
      <c r="D22" s="38"/>
      <c r="E22" s="38"/>
      <c r="F22" s="38"/>
      <c r="K22" s="50"/>
      <c r="L22" s="50"/>
      <c r="U22" s="38"/>
      <c r="V22" s="38"/>
      <c r="W22" s="38"/>
      <c r="X22" s="38"/>
      <c r="Y22" s="38"/>
      <c r="Z22" s="38"/>
      <c r="AA22" s="38"/>
      <c r="AB22" s="38"/>
      <c r="AC22" s="38"/>
    </row>
    <row r="23" spans="1:51" ht="17.25" customHeight="1" x14ac:dyDescent="0.15">
      <c r="A23" s="19"/>
      <c r="B23" s="39"/>
      <c r="C23" s="20"/>
      <c r="D23" s="20"/>
      <c r="E23" s="20"/>
      <c r="F23" s="20"/>
      <c r="G23" s="20"/>
      <c r="H23" s="20"/>
      <c r="I23" s="19"/>
      <c r="J23" s="39"/>
      <c r="K23" s="39"/>
      <c r="L23" s="39"/>
      <c r="M23" s="39"/>
      <c r="N23" s="21"/>
      <c r="O23" s="38"/>
      <c r="P23" s="38"/>
      <c r="Q23" s="38"/>
      <c r="R23" s="38"/>
      <c r="S23" s="38"/>
      <c r="T23" s="38"/>
      <c r="U23" s="38"/>
      <c r="V23" s="38"/>
      <c r="W23" s="38"/>
      <c r="X23" s="38"/>
      <c r="Y23" s="38"/>
      <c r="Z23" s="38"/>
      <c r="AA23" s="38"/>
      <c r="AB23" s="38"/>
      <c r="AC23" s="38"/>
    </row>
    <row r="24" spans="1:51" ht="17" customHeight="1" x14ac:dyDescent="0.15">
      <c r="A24" s="51" t="s">
        <v>134</v>
      </c>
      <c r="B24" s="39"/>
      <c r="C24" s="126" t="s">
        <v>212</v>
      </c>
      <c r="D24" s="126"/>
      <c r="E24" s="126"/>
      <c r="F24" s="127"/>
      <c r="G24" s="127"/>
      <c r="H24" s="127"/>
      <c r="I24" s="127"/>
      <c r="J24" s="127"/>
      <c r="K24" s="127"/>
      <c r="L24" s="127"/>
      <c r="M24" s="127"/>
      <c r="N24" s="127"/>
      <c r="O24" s="127"/>
      <c r="P24" s="127"/>
      <c r="Q24" s="127"/>
      <c r="R24" s="127"/>
      <c r="S24" s="127"/>
      <c r="T24" s="127"/>
      <c r="U24" s="127"/>
      <c r="V24" s="127"/>
      <c r="W24" s="127"/>
      <c r="X24" s="127"/>
      <c r="Y24" s="127"/>
      <c r="Z24" s="128"/>
      <c r="AA24" s="128"/>
      <c r="AB24" s="128"/>
      <c r="AC24" s="87"/>
    </row>
    <row r="25" spans="1:51" ht="11" customHeight="1" x14ac:dyDescent="0.15">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8"/>
      <c r="AA25" s="128"/>
      <c r="AB25" s="128"/>
      <c r="AC25" s="87"/>
    </row>
    <row r="26" spans="1:51" ht="1" hidden="1" customHeight="1" x14ac:dyDescent="0.15">
      <c r="A26" s="51"/>
      <c r="C26" s="147"/>
      <c r="D26" s="147"/>
      <c r="E26" s="147"/>
      <c r="F26" s="148"/>
      <c r="G26" s="148"/>
      <c r="H26" s="148"/>
      <c r="I26" s="148"/>
      <c r="J26" s="148"/>
      <c r="K26" s="148"/>
      <c r="L26" s="148"/>
      <c r="M26" s="148"/>
      <c r="N26" s="148"/>
      <c r="O26" s="148"/>
      <c r="P26" s="148"/>
      <c r="Q26" s="148"/>
      <c r="R26" s="148"/>
      <c r="S26" s="148"/>
      <c r="T26" s="148"/>
      <c r="U26" s="148"/>
      <c r="V26" s="148"/>
      <c r="W26" s="148"/>
      <c r="X26" s="148"/>
      <c r="Y26" s="148"/>
      <c r="Z26" s="149"/>
      <c r="AA26" s="85"/>
      <c r="AB26" s="85"/>
      <c r="AC26" s="85"/>
    </row>
    <row r="27" spans="1:51" ht="39" customHeight="1" x14ac:dyDescent="0.15">
      <c r="A27" s="51"/>
      <c r="C27" s="147" t="s">
        <v>195</v>
      </c>
      <c r="D27" s="147"/>
      <c r="E27" s="147"/>
      <c r="F27" s="148"/>
      <c r="G27" s="148"/>
      <c r="H27" s="148"/>
      <c r="I27" s="148"/>
      <c r="J27" s="148"/>
      <c r="K27" s="148"/>
      <c r="L27" s="148"/>
      <c r="M27" s="148"/>
      <c r="N27" s="148"/>
      <c r="O27" s="148"/>
      <c r="P27" s="148"/>
      <c r="Q27" s="148"/>
      <c r="R27" s="148"/>
      <c r="S27" s="148"/>
      <c r="T27" s="148"/>
      <c r="U27" s="148"/>
      <c r="V27" s="148"/>
      <c r="W27" s="148"/>
      <c r="X27" s="148"/>
      <c r="Y27" s="148"/>
      <c r="Z27" s="149"/>
      <c r="AA27" s="149"/>
      <c r="AB27" s="149"/>
      <c r="AC27" s="85"/>
    </row>
    <row r="28" spans="1:51" ht="19" customHeight="1" x14ac:dyDescent="0.15">
      <c r="C28" s="153" t="s">
        <v>206</v>
      </c>
      <c r="D28" s="153"/>
      <c r="E28" s="153"/>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85"/>
    </row>
    <row r="29" spans="1:51" ht="14" x14ac:dyDescent="0.15">
      <c r="C29" s="41"/>
      <c r="D29" s="41"/>
      <c r="E29" s="41"/>
      <c r="F29" s="42"/>
      <c r="G29" s="42"/>
      <c r="H29" s="42"/>
      <c r="I29" s="42"/>
      <c r="J29" s="42"/>
      <c r="K29" s="42"/>
      <c r="L29" s="42"/>
      <c r="M29" s="42"/>
      <c r="N29" s="42"/>
      <c r="O29" s="42"/>
      <c r="P29" s="42"/>
      <c r="Q29" s="42"/>
      <c r="R29" s="42"/>
      <c r="S29" s="42"/>
      <c r="T29" s="42"/>
      <c r="U29" s="42"/>
      <c r="V29" s="42"/>
      <c r="W29" s="42"/>
      <c r="X29" s="42"/>
      <c r="Y29" s="42"/>
      <c r="Z29" s="42"/>
      <c r="AA29" s="42"/>
      <c r="AB29" s="42"/>
      <c r="AC29" s="42"/>
    </row>
    <row r="30" spans="1:51" x14ac:dyDescent="0.15">
      <c r="A30" s="22" t="s">
        <v>10</v>
      </c>
      <c r="B30" s="23"/>
      <c r="C30" s="152" t="s">
        <v>165</v>
      </c>
      <c r="D30" s="152"/>
      <c r="E30" s="152"/>
      <c r="F30" s="152"/>
      <c r="G30" s="36"/>
      <c r="H30" s="125" t="s">
        <v>156</v>
      </c>
      <c r="I30" s="156"/>
      <c r="J30" s="156"/>
      <c r="L30" s="25" t="s">
        <v>116</v>
      </c>
      <c r="AD30" s="23" t="s">
        <v>136</v>
      </c>
      <c r="AK30" s="158" t="s">
        <v>69</v>
      </c>
      <c r="AL30" s="158"/>
      <c r="AM30" s="158"/>
      <c r="AN30" s="158"/>
      <c r="AO30" s="158"/>
      <c r="AP30" s="158"/>
      <c r="AQ30" s="158"/>
      <c r="AR30" s="36"/>
      <c r="AS30" s="36"/>
      <c r="AT30" s="125" t="s">
        <v>179</v>
      </c>
      <c r="AU30" s="24"/>
      <c r="AV30" s="125" t="s">
        <v>190</v>
      </c>
      <c r="AY30" s="125" t="s">
        <v>197</v>
      </c>
    </row>
    <row r="31" spans="1:51" x14ac:dyDescent="0.15">
      <c r="A31" s="13"/>
      <c r="C31" s="154" t="s">
        <v>133</v>
      </c>
      <c r="D31" s="154"/>
      <c r="E31" s="154"/>
      <c r="F31" s="155"/>
      <c r="G31" s="53"/>
      <c r="H31" s="157"/>
      <c r="I31" s="157"/>
      <c r="J31" s="157"/>
      <c r="AD31" s="60">
        <f>IF($D$35&lt;2,2,IF($D$35&gt;=30,30,$D$35))</f>
        <v>2</v>
      </c>
      <c r="AE31" s="60">
        <f>IF($F$35&lt;2,2,IF($F$35&gt;=30,30,$F$35))</f>
        <v>2</v>
      </c>
      <c r="AK31" s="13" t="s">
        <v>121</v>
      </c>
      <c r="AL31" s="13"/>
      <c r="AM31" s="14" t="s">
        <v>119</v>
      </c>
      <c r="AT31" s="125"/>
      <c r="AU31" s="24"/>
      <c r="AV31" s="125"/>
      <c r="AY31" s="125"/>
    </row>
    <row r="32" spans="1:51" ht="13" x14ac:dyDescent="0.15">
      <c r="A32" s="26"/>
      <c r="B32" s="26"/>
      <c r="C32" s="152" t="s">
        <v>149</v>
      </c>
      <c r="D32" s="152"/>
      <c r="E32" s="152"/>
      <c r="F32" s="152"/>
      <c r="G32" s="54"/>
      <c r="AD32" s="25" t="s">
        <v>155</v>
      </c>
      <c r="AK32" s="13" t="s">
        <v>122</v>
      </c>
      <c r="AL32" s="13"/>
      <c r="AM32" s="14" t="s">
        <v>137</v>
      </c>
      <c r="AT32" s="123"/>
      <c r="AV32" s="123"/>
      <c r="AY32" s="123"/>
    </row>
    <row r="33" spans="1:51" ht="13" x14ac:dyDescent="0.15">
      <c r="A33" s="26"/>
      <c r="B33" s="26"/>
      <c r="C33" s="115">
        <v>1</v>
      </c>
      <c r="D33" s="116"/>
      <c r="E33" s="117">
        <v>2</v>
      </c>
      <c r="F33" s="118">
        <v>2</v>
      </c>
      <c r="G33" s="18"/>
      <c r="H33" s="52">
        <v>1</v>
      </c>
      <c r="I33" s="52">
        <v>2</v>
      </c>
      <c r="J33" s="75" t="s">
        <v>166</v>
      </c>
      <c r="AD33" s="14">
        <v>1</v>
      </c>
      <c r="AE33" s="14">
        <v>2</v>
      </c>
      <c r="AK33" s="13" t="s">
        <v>123</v>
      </c>
      <c r="AL33" s="13"/>
      <c r="AM33" s="14" t="s">
        <v>120</v>
      </c>
      <c r="AY33" s="114"/>
    </row>
    <row r="34" spans="1:51" x14ac:dyDescent="0.15">
      <c r="A34" s="26"/>
      <c r="B34" s="26"/>
      <c r="C34" s="72"/>
      <c r="D34" s="73" t="s">
        <v>164</v>
      </c>
      <c r="E34" s="72"/>
      <c r="F34" s="73" t="s">
        <v>164</v>
      </c>
      <c r="G34" s="18"/>
      <c r="H34" s="52"/>
      <c r="I34" s="52"/>
      <c r="AK34" s="13"/>
      <c r="AL34" s="13"/>
    </row>
    <row r="35" spans="1:51" ht="12" x14ac:dyDescent="0.15">
      <c r="A35" s="63" t="s">
        <v>132</v>
      </c>
      <c r="B35" s="14" t="s">
        <v>5</v>
      </c>
      <c r="C35" s="74" t="s">
        <v>154</v>
      </c>
      <c r="D35" s="90">
        <v>0.1</v>
      </c>
      <c r="E35" s="74" t="str">
        <f>C35</f>
        <v>&lt;</v>
      </c>
      <c r="F35" s="90">
        <f>D35</f>
        <v>0.1</v>
      </c>
      <c r="G35" s="13"/>
      <c r="H35" s="56">
        <f>AD31</f>
        <v>2</v>
      </c>
      <c r="I35" s="56">
        <f>AE31</f>
        <v>2</v>
      </c>
      <c r="J35" s="57">
        <f t="shared" ref="J35:J78" si="0">AVERAGE(H35:I35)</f>
        <v>2</v>
      </c>
      <c r="AD35" s="14">
        <f>IF(C35="&lt;",0.7*D35,D35)</f>
        <v>6.9999999999999993E-2</v>
      </c>
      <c r="AE35" s="14">
        <f>IF(E35="&lt;",0.7*F35,F35)</f>
        <v>6.9999999999999993E-2</v>
      </c>
      <c r="AK35" s="47" t="s">
        <v>57</v>
      </c>
      <c r="AL35" s="47"/>
      <c r="AM35" s="47" t="s">
        <v>46</v>
      </c>
      <c r="AN35" s="30"/>
      <c r="AO35" s="30" t="s">
        <v>72</v>
      </c>
      <c r="AP35" s="30"/>
      <c r="AQ35" s="30" t="s">
        <v>118</v>
      </c>
    </row>
    <row r="36" spans="1:51" ht="12" x14ac:dyDescent="0.15">
      <c r="A36" s="65" t="s">
        <v>14</v>
      </c>
      <c r="B36" s="15" t="s">
        <v>42</v>
      </c>
      <c r="C36" s="74" t="s">
        <v>154</v>
      </c>
      <c r="D36" s="90">
        <v>0.1</v>
      </c>
      <c r="E36" s="74" t="str">
        <f t="shared" ref="E36:E78" si="1">C36</f>
        <v>&lt;</v>
      </c>
      <c r="F36" s="74">
        <f t="shared" ref="F36:F78" si="2">D36</f>
        <v>0.1</v>
      </c>
      <c r="H36" s="56">
        <f>IF($AD$31&gt;=10,AD36*(10/$AD$31),AD36)</f>
        <v>6.9999999999999993E-2</v>
      </c>
      <c r="I36" s="56">
        <f>IF($AE$31&gt;=10,AE36*(10/$AE$31),AE36)</f>
        <v>6.9999999999999993E-2</v>
      </c>
      <c r="J36" s="57">
        <f t="shared" si="0"/>
        <v>6.9999999999999993E-2</v>
      </c>
      <c r="L36" s="58">
        <f t="shared" ref="L36:L78" si="3">IF(J36&lt;=0,0,(MAX(H36,I36)/MIN(H36,I36)))</f>
        <v>1</v>
      </c>
      <c r="AC36" s="33">
        <f t="shared" ref="AC36:AC78" si="4">IF(AY36="Niet Toepasbaar",1,0)</f>
        <v>0</v>
      </c>
      <c r="AD36" s="14">
        <f t="shared" ref="AD36:AD65" si="5">IF(C36="&lt;",0.7*D36,D36)</f>
        <v>6.9999999999999993E-2</v>
      </c>
      <c r="AE36" s="14">
        <f t="shared" ref="AE36:AE65" si="6">IF(E36="&lt;",0.7*F36,F36)</f>
        <v>6.9999999999999993E-2</v>
      </c>
      <c r="AK36" s="32"/>
      <c r="AL36" s="33"/>
      <c r="AM36" s="32"/>
      <c r="AN36" s="33">
        <f>IF(AM36="W of I",1000,IF(AM36="NT",100000,0))</f>
        <v>0</v>
      </c>
      <c r="AO36" s="32"/>
      <c r="AP36" s="33"/>
      <c r="AQ36" s="32" t="str">
        <f>IF(J36&lt;=$Y$11,"Aw",IF(J36&lt;=$Y$8,"L/N",IF(J36&lt;=$Y$9,"W of I",IF(J36&gt;$Y$10,"NT"))))</f>
        <v>Aw</v>
      </c>
      <c r="AR36" s="33">
        <f>IF(AQ36="L/N",38,IF(AQ36="Aw",1,IF(AQ36="W of I",1500,IF(AQ36="NT",100000,0))))</f>
        <v>1</v>
      </c>
      <c r="AS36" s="33">
        <f>IF(AQ36="L/N",38,IF(AQ36="Aw",1,IF(AQ36="W of I",1500,IF(AQ36="NT",100000,0))))</f>
        <v>1</v>
      </c>
      <c r="AT36" s="32" t="str">
        <f t="shared" ref="AT36:AT53" si="7">IF(J36&gt;$F$104,"Niet Toepasbaar","Toepasbaar")</f>
        <v>Toepasbaar</v>
      </c>
      <c r="AU36" s="33">
        <f>IF(AT36="Niet Toepasbaar",1,0)</f>
        <v>0</v>
      </c>
      <c r="AV36" s="32" t="str">
        <f t="shared" ref="AV36:AV53" si="8">IF(J36&gt;$F$105,"Niet Toepasbaar","Toepasbaar")</f>
        <v>Toepasbaar</v>
      </c>
      <c r="AX36" s="33">
        <f t="shared" ref="AX36:AX78" si="9">IF(AV36="Niet Toepasbaar",1,0)</f>
        <v>0</v>
      </c>
      <c r="AY36" s="32" t="str">
        <f t="shared" ref="AY36:AY77" si="10">IF(J36&gt;$F$102,"Niet Toepasbaar","Toepasbaar")</f>
        <v>Toepasbaar</v>
      </c>
    </row>
    <row r="37" spans="1:51" ht="12" x14ac:dyDescent="0.15">
      <c r="A37" s="65" t="s">
        <v>15</v>
      </c>
      <c r="B37" s="15" t="s">
        <v>43</v>
      </c>
      <c r="C37" s="74" t="s">
        <v>154</v>
      </c>
      <c r="D37" s="90">
        <v>0.1</v>
      </c>
      <c r="E37" s="74" t="str">
        <f t="shared" si="1"/>
        <v>&lt;</v>
      </c>
      <c r="F37" s="74">
        <f t="shared" si="2"/>
        <v>0.1</v>
      </c>
      <c r="G37" s="13"/>
      <c r="H37" s="56">
        <f t="shared" ref="H37:H78" si="11">IF($AD$31&gt;=10,AD37*(10/$AD$31),AD37)</f>
        <v>6.9999999999999993E-2</v>
      </c>
      <c r="I37" s="56">
        <f t="shared" ref="I37:I78" si="12">IF($AE$31&gt;=10,AE37*(10/$AE$31),AE37)</f>
        <v>6.9999999999999993E-2</v>
      </c>
      <c r="J37" s="57">
        <f t="shared" si="0"/>
        <v>6.9999999999999993E-2</v>
      </c>
      <c r="L37" s="58">
        <f t="shared" si="3"/>
        <v>1</v>
      </c>
      <c r="AC37" s="33">
        <f t="shared" si="4"/>
        <v>0</v>
      </c>
      <c r="AD37" s="14">
        <f t="shared" si="5"/>
        <v>6.9999999999999993E-2</v>
      </c>
      <c r="AE37" s="14">
        <f t="shared" si="6"/>
        <v>6.9999999999999993E-2</v>
      </c>
      <c r="AK37" s="32"/>
      <c r="AL37" s="33"/>
      <c r="AM37" s="32"/>
      <c r="AN37" s="33">
        <f>IF(AM37="W of I",1000,IF(AM37="NT",100000,0))</f>
        <v>0</v>
      </c>
      <c r="AO37" s="32"/>
      <c r="AP37" s="33"/>
      <c r="AQ37" s="32" t="str">
        <f>IF(J37&lt;=$Y$11,"Aw",IF(J37&lt;=$Y$8,"L/N",IF(J37&lt;=$Y$9,"W of I",IF(J37&gt;$Y$10,"NT"))))</f>
        <v>Aw</v>
      </c>
      <c r="AR37" s="33">
        <f t="shared" ref="AR37:AR77" si="13">IF(AQ37="L/N",38,IF(AQ37="Aw",1,IF(AQ37="W of I",1500,IF(AQ37="NT",100000,0))))</f>
        <v>1</v>
      </c>
      <c r="AS37" s="33">
        <f t="shared" ref="AS37:AS77" si="14">IF(AQ37="L/N",38,IF(AQ37="Aw",1,IF(AQ37="W of I",1500,IF(AQ37="NT",100000,0))))</f>
        <v>1</v>
      </c>
      <c r="AT37" s="32" t="str">
        <f t="shared" si="7"/>
        <v>Toepasbaar</v>
      </c>
      <c r="AU37" s="33">
        <f>IF(AT37="Niet Toepasbaar",1,0)</f>
        <v>0</v>
      </c>
      <c r="AV37" s="32" t="str">
        <f t="shared" si="8"/>
        <v>Toepasbaar</v>
      </c>
      <c r="AX37" s="33">
        <f t="shared" si="9"/>
        <v>0</v>
      </c>
      <c r="AY37" s="32" t="str">
        <f t="shared" si="10"/>
        <v>Toepasbaar</v>
      </c>
    </row>
    <row r="38" spans="1:51" ht="12" x14ac:dyDescent="0.15">
      <c r="A38" s="65" t="s">
        <v>16</v>
      </c>
      <c r="B38" s="15" t="s">
        <v>44</v>
      </c>
      <c r="C38" s="74" t="s">
        <v>154</v>
      </c>
      <c r="D38" s="90">
        <v>0.1</v>
      </c>
      <c r="E38" s="74" t="str">
        <f t="shared" si="1"/>
        <v>&lt;</v>
      </c>
      <c r="F38" s="74">
        <f t="shared" si="2"/>
        <v>0.1</v>
      </c>
      <c r="G38" s="13"/>
      <c r="H38" s="56">
        <f t="shared" si="11"/>
        <v>6.9999999999999993E-2</v>
      </c>
      <c r="I38" s="56">
        <f t="shared" si="12"/>
        <v>6.9999999999999993E-2</v>
      </c>
      <c r="J38" s="57">
        <f t="shared" si="0"/>
        <v>6.9999999999999993E-2</v>
      </c>
      <c r="L38" s="58">
        <f t="shared" si="3"/>
        <v>1</v>
      </c>
      <c r="AC38" s="33">
        <f t="shared" si="4"/>
        <v>0</v>
      </c>
      <c r="AD38" s="14">
        <f t="shared" si="5"/>
        <v>6.9999999999999993E-2</v>
      </c>
      <c r="AE38" s="14">
        <f t="shared" si="6"/>
        <v>6.9999999999999993E-2</v>
      </c>
      <c r="AK38" s="32"/>
      <c r="AL38" s="33"/>
      <c r="AM38" s="32"/>
      <c r="AN38" s="33">
        <f t="shared" ref="AN38:AN65" si="15">IF(AM38="W of I",1000,IF(AM38="NT",100000,0))</f>
        <v>0</v>
      </c>
      <c r="AO38" s="32"/>
      <c r="AP38" s="33"/>
      <c r="AQ38" s="32" t="str">
        <f>IF(J38&lt;=$Y$11,"Aw",IF(J38&lt;=$Y$8,"L/N",IF(J38&lt;=$Y$9,"W of I",IF(J38&gt;$Y$10,"NT"))))</f>
        <v>Aw</v>
      </c>
      <c r="AR38" s="33">
        <f t="shared" si="13"/>
        <v>1</v>
      </c>
      <c r="AS38" s="33">
        <f t="shared" si="14"/>
        <v>1</v>
      </c>
      <c r="AT38" s="32" t="str">
        <f t="shared" si="7"/>
        <v>Toepasbaar</v>
      </c>
      <c r="AU38" s="33">
        <f t="shared" ref="AU38:AU78" si="16">IF(AT38="Niet Toepasbaar",1,0)</f>
        <v>0</v>
      </c>
      <c r="AV38" s="32" t="str">
        <f t="shared" si="8"/>
        <v>Toepasbaar</v>
      </c>
      <c r="AX38" s="33">
        <f t="shared" si="9"/>
        <v>0</v>
      </c>
      <c r="AY38" s="32" t="str">
        <f t="shared" si="10"/>
        <v>Toepasbaar</v>
      </c>
    </row>
    <row r="39" spans="1:51" ht="12" x14ac:dyDescent="0.15">
      <c r="A39" s="65" t="s">
        <v>17</v>
      </c>
      <c r="B39" s="15" t="s">
        <v>45</v>
      </c>
      <c r="C39" s="74" t="s">
        <v>154</v>
      </c>
      <c r="D39" s="90">
        <v>0.1</v>
      </c>
      <c r="E39" s="74" t="str">
        <f t="shared" si="1"/>
        <v>&lt;</v>
      </c>
      <c r="F39" s="74">
        <f t="shared" si="2"/>
        <v>0.1</v>
      </c>
      <c r="G39" s="13"/>
      <c r="H39" s="56">
        <f t="shared" si="11"/>
        <v>6.9999999999999993E-2</v>
      </c>
      <c r="I39" s="56">
        <f t="shared" si="12"/>
        <v>6.9999999999999993E-2</v>
      </c>
      <c r="J39" s="57">
        <f t="shared" si="0"/>
        <v>6.9999999999999993E-2</v>
      </c>
      <c r="L39" s="58">
        <f t="shared" si="3"/>
        <v>1</v>
      </c>
      <c r="AC39" s="33">
        <f t="shared" si="4"/>
        <v>0</v>
      </c>
      <c r="AD39" s="14">
        <f t="shared" si="5"/>
        <v>6.9999999999999993E-2</v>
      </c>
      <c r="AE39" s="14">
        <f t="shared" si="6"/>
        <v>6.9999999999999993E-2</v>
      </c>
      <c r="AK39" s="32"/>
      <c r="AL39" s="33"/>
      <c r="AM39" s="32"/>
      <c r="AN39" s="33">
        <f t="shared" si="15"/>
        <v>0</v>
      </c>
      <c r="AO39" s="32"/>
      <c r="AP39" s="33"/>
      <c r="AQ39" s="32" t="str">
        <f>IF(J39&lt;=$Y$11,"Aw",IF(J39&lt;=$Y$8,"L/N",IF(J39&lt;=$Y$9,"W of I",IF(J39&gt;$Y$10,"NT"))))</f>
        <v>Aw</v>
      </c>
      <c r="AR39" s="33">
        <f t="shared" si="13"/>
        <v>1</v>
      </c>
      <c r="AS39" s="33">
        <f t="shared" si="14"/>
        <v>1</v>
      </c>
      <c r="AT39" s="32" t="str">
        <f t="shared" si="7"/>
        <v>Toepasbaar</v>
      </c>
      <c r="AU39" s="33">
        <f t="shared" si="16"/>
        <v>0</v>
      </c>
      <c r="AV39" s="32" t="str">
        <f t="shared" si="8"/>
        <v>Toepasbaar</v>
      </c>
      <c r="AX39" s="33">
        <f t="shared" si="9"/>
        <v>0</v>
      </c>
      <c r="AY39" s="32" t="str">
        <f t="shared" si="10"/>
        <v>Toepasbaar</v>
      </c>
    </row>
    <row r="40" spans="1:51" ht="12" x14ac:dyDescent="0.15">
      <c r="A40" s="66" t="s">
        <v>152</v>
      </c>
      <c r="B40" s="15" t="s">
        <v>175</v>
      </c>
      <c r="C40" s="74" t="s">
        <v>154</v>
      </c>
      <c r="D40" s="91">
        <v>0.1</v>
      </c>
      <c r="E40" s="74" t="str">
        <f t="shared" si="1"/>
        <v>&lt;</v>
      </c>
      <c r="F40" s="91">
        <f t="shared" si="2"/>
        <v>0.1</v>
      </c>
      <c r="G40" s="13"/>
      <c r="H40" s="56">
        <f t="shared" si="11"/>
        <v>6.9999999999999993E-2</v>
      </c>
      <c r="I40" s="56">
        <f t="shared" si="12"/>
        <v>6.9999999999999993E-2</v>
      </c>
      <c r="J40" s="57">
        <f t="shared" si="0"/>
        <v>6.9999999999999993E-2</v>
      </c>
      <c r="L40" s="58">
        <f t="shared" si="3"/>
        <v>1</v>
      </c>
      <c r="AC40" s="33">
        <f t="shared" si="4"/>
        <v>0</v>
      </c>
      <c r="AD40" s="14">
        <f t="shared" si="5"/>
        <v>6.9999999999999993E-2</v>
      </c>
      <c r="AE40" s="14">
        <f t="shared" si="6"/>
        <v>6.9999999999999993E-2</v>
      </c>
      <c r="AK40" s="32"/>
      <c r="AL40" s="33">
        <f t="shared" ref="AL40:AL55" si="17">IF(AK40="W of I",1000,IF(AK40="NT",100000,0))</f>
        <v>0</v>
      </c>
      <c r="AM40" s="32" t="str">
        <f>IF(J40&lt;=$W$8,"L/N",IF(J40&lt;=$W$9,"W of I",IF(J40&gt;$W$10,"NT")))</f>
        <v>L/N</v>
      </c>
      <c r="AN40" s="33">
        <f t="shared" si="15"/>
        <v>0</v>
      </c>
      <c r="AO40" s="32"/>
      <c r="AP40" s="33"/>
      <c r="AQ40" s="32"/>
      <c r="AR40" s="33">
        <f t="shared" si="13"/>
        <v>0</v>
      </c>
      <c r="AS40" s="33">
        <f t="shared" si="14"/>
        <v>0</v>
      </c>
      <c r="AT40" s="32" t="str">
        <f t="shared" si="7"/>
        <v>Toepasbaar</v>
      </c>
      <c r="AU40" s="33">
        <f t="shared" si="16"/>
        <v>0</v>
      </c>
      <c r="AV40" s="32" t="str">
        <f t="shared" si="8"/>
        <v>Toepasbaar</v>
      </c>
      <c r="AX40" s="33">
        <f t="shared" si="9"/>
        <v>0</v>
      </c>
      <c r="AY40" s="32" t="str">
        <f t="shared" si="10"/>
        <v>Toepasbaar</v>
      </c>
    </row>
    <row r="41" spans="1:51" ht="12" x14ac:dyDescent="0.15">
      <c r="A41" s="66" t="s">
        <v>41</v>
      </c>
      <c r="B41" s="15" t="s">
        <v>41</v>
      </c>
      <c r="C41" s="74" t="s">
        <v>154</v>
      </c>
      <c r="D41" s="91">
        <v>0.1</v>
      </c>
      <c r="E41" s="74" t="str">
        <f t="shared" si="1"/>
        <v>&lt;</v>
      </c>
      <c r="F41" s="91">
        <f t="shared" si="2"/>
        <v>0.1</v>
      </c>
      <c r="G41" s="13"/>
      <c r="H41" s="56">
        <f t="shared" si="11"/>
        <v>6.9999999999999993E-2</v>
      </c>
      <c r="I41" s="56">
        <f t="shared" si="12"/>
        <v>6.9999999999999993E-2</v>
      </c>
      <c r="J41" s="57">
        <f t="shared" si="0"/>
        <v>6.9999999999999993E-2</v>
      </c>
      <c r="L41" s="58">
        <f t="shared" si="3"/>
        <v>1</v>
      </c>
      <c r="AC41" s="33">
        <f t="shared" si="4"/>
        <v>0</v>
      </c>
      <c r="AD41" s="14">
        <f t="shared" si="5"/>
        <v>6.9999999999999993E-2</v>
      </c>
      <c r="AE41" s="14">
        <f t="shared" si="6"/>
        <v>6.9999999999999993E-2</v>
      </c>
      <c r="AK41" s="32"/>
      <c r="AL41" s="33">
        <f t="shared" si="17"/>
        <v>0</v>
      </c>
      <c r="AM41" s="32" t="str">
        <f>IF(J41&lt;=$W$8,"L/N",IF(J41&lt;=$W$9,"W of I",IF(J41&gt;$W$10,"NT")))</f>
        <v>L/N</v>
      </c>
      <c r="AN41" s="33">
        <f t="shared" si="15"/>
        <v>0</v>
      </c>
      <c r="AO41" s="32"/>
      <c r="AP41" s="33"/>
      <c r="AQ41" s="32"/>
      <c r="AR41" s="33">
        <f t="shared" si="13"/>
        <v>0</v>
      </c>
      <c r="AS41" s="33">
        <f t="shared" si="14"/>
        <v>0</v>
      </c>
      <c r="AT41" s="32" t="str">
        <f t="shared" si="7"/>
        <v>Toepasbaar</v>
      </c>
      <c r="AU41" s="33">
        <f>IF(AT41="Niet Toepasbaar",1,0)</f>
        <v>0</v>
      </c>
      <c r="AV41" s="32" t="str">
        <f t="shared" si="8"/>
        <v>Toepasbaar</v>
      </c>
      <c r="AX41" s="33">
        <f t="shared" si="9"/>
        <v>0</v>
      </c>
      <c r="AY41" s="32" t="str">
        <f t="shared" si="10"/>
        <v>Toepasbaar</v>
      </c>
    </row>
    <row r="42" spans="1:51" ht="12" x14ac:dyDescent="0.15">
      <c r="A42" s="65" t="s">
        <v>18</v>
      </c>
      <c r="B42" s="15" t="s">
        <v>47</v>
      </c>
      <c r="C42" s="74" t="s">
        <v>154</v>
      </c>
      <c r="D42" s="90">
        <v>0.1</v>
      </c>
      <c r="E42" s="74" t="str">
        <f t="shared" si="1"/>
        <v>&lt;</v>
      </c>
      <c r="F42" s="74">
        <f t="shared" si="2"/>
        <v>0.1</v>
      </c>
      <c r="G42" s="13"/>
      <c r="H42" s="56">
        <f t="shared" si="11"/>
        <v>6.9999999999999993E-2</v>
      </c>
      <c r="I42" s="56">
        <f t="shared" si="12"/>
        <v>6.9999999999999993E-2</v>
      </c>
      <c r="J42" s="57">
        <f t="shared" si="0"/>
        <v>6.9999999999999993E-2</v>
      </c>
      <c r="L42" s="58">
        <f t="shared" si="3"/>
        <v>1</v>
      </c>
      <c r="AC42" s="33">
        <f t="shared" si="4"/>
        <v>0</v>
      </c>
      <c r="AD42" s="14">
        <f t="shared" si="5"/>
        <v>6.9999999999999993E-2</v>
      </c>
      <c r="AE42" s="14">
        <f t="shared" si="6"/>
        <v>6.9999999999999993E-2</v>
      </c>
      <c r="AK42" s="32"/>
      <c r="AL42" s="33"/>
      <c r="AM42" s="32"/>
      <c r="AN42" s="33">
        <f t="shared" si="15"/>
        <v>0</v>
      </c>
      <c r="AO42" s="32"/>
      <c r="AP42" s="33"/>
      <c r="AQ42" s="32" t="str">
        <f t="shared" ref="AQ42:AQ53" si="18">IF(J42&lt;=$Y$11,"Aw",IF(J42&lt;=$Y$8,"L/N",IF(J42&lt;=$Y$9,"W of I",IF(J42&gt;$Y$10,"NT"))))</f>
        <v>Aw</v>
      </c>
      <c r="AR42" s="33">
        <f t="shared" si="13"/>
        <v>1</v>
      </c>
      <c r="AS42" s="33">
        <f t="shared" si="14"/>
        <v>1</v>
      </c>
      <c r="AT42" s="32" t="str">
        <f t="shared" si="7"/>
        <v>Toepasbaar</v>
      </c>
      <c r="AU42" s="33">
        <f t="shared" si="16"/>
        <v>0</v>
      </c>
      <c r="AV42" s="32" t="str">
        <f t="shared" si="8"/>
        <v>Toepasbaar</v>
      </c>
      <c r="AX42" s="33">
        <f t="shared" si="9"/>
        <v>0</v>
      </c>
      <c r="AY42" s="32" t="str">
        <f t="shared" si="10"/>
        <v>Toepasbaar</v>
      </c>
    </row>
    <row r="43" spans="1:51" ht="12" x14ac:dyDescent="0.15">
      <c r="A43" s="65" t="s">
        <v>19</v>
      </c>
      <c r="B43" s="15" t="s">
        <v>176</v>
      </c>
      <c r="C43" s="74" t="s">
        <v>154</v>
      </c>
      <c r="D43" s="90">
        <v>0.1</v>
      </c>
      <c r="E43" s="74" t="str">
        <f t="shared" si="1"/>
        <v>&lt;</v>
      </c>
      <c r="F43" s="74">
        <f t="shared" si="2"/>
        <v>0.1</v>
      </c>
      <c r="G43" s="13"/>
      <c r="H43" s="56">
        <f t="shared" si="11"/>
        <v>6.9999999999999993E-2</v>
      </c>
      <c r="I43" s="56">
        <f t="shared" si="12"/>
        <v>6.9999999999999993E-2</v>
      </c>
      <c r="J43" s="57">
        <f t="shared" si="0"/>
        <v>6.9999999999999993E-2</v>
      </c>
      <c r="L43" s="58">
        <f t="shared" si="3"/>
        <v>1</v>
      </c>
      <c r="AC43" s="33">
        <f t="shared" si="4"/>
        <v>0</v>
      </c>
      <c r="AD43" s="14">
        <f t="shared" si="5"/>
        <v>6.9999999999999993E-2</v>
      </c>
      <c r="AE43" s="14">
        <f t="shared" si="6"/>
        <v>6.9999999999999993E-2</v>
      </c>
      <c r="AK43" s="32"/>
      <c r="AL43" s="33"/>
      <c r="AM43" s="32"/>
      <c r="AN43" s="33">
        <f t="shared" si="15"/>
        <v>0</v>
      </c>
      <c r="AO43" s="32"/>
      <c r="AP43" s="33"/>
      <c r="AQ43" s="32" t="str">
        <f t="shared" si="18"/>
        <v>Aw</v>
      </c>
      <c r="AR43" s="33">
        <f t="shared" si="13"/>
        <v>1</v>
      </c>
      <c r="AS43" s="33">
        <f t="shared" si="14"/>
        <v>1</v>
      </c>
      <c r="AT43" s="32" t="str">
        <f t="shared" si="7"/>
        <v>Toepasbaar</v>
      </c>
      <c r="AU43" s="33">
        <f t="shared" si="16"/>
        <v>0</v>
      </c>
      <c r="AV43" s="32" t="str">
        <f t="shared" si="8"/>
        <v>Toepasbaar</v>
      </c>
      <c r="AX43" s="33">
        <f t="shared" si="9"/>
        <v>0</v>
      </c>
      <c r="AY43" s="32" t="str">
        <f t="shared" si="10"/>
        <v>Toepasbaar</v>
      </c>
    </row>
    <row r="44" spans="1:51" ht="13" x14ac:dyDescent="0.15">
      <c r="A44" s="65" t="s">
        <v>20</v>
      </c>
      <c r="B44" s="15" t="s">
        <v>48</v>
      </c>
      <c r="C44" s="74" t="s">
        <v>154</v>
      </c>
      <c r="D44" s="90">
        <v>0.1</v>
      </c>
      <c r="E44" s="74" t="str">
        <f t="shared" si="1"/>
        <v>&lt;</v>
      </c>
      <c r="F44" s="74">
        <f t="shared" si="2"/>
        <v>0.1</v>
      </c>
      <c r="G44" s="13"/>
      <c r="H44" s="56">
        <f t="shared" si="11"/>
        <v>6.9999999999999993E-2</v>
      </c>
      <c r="I44" s="56">
        <f t="shared" si="12"/>
        <v>6.9999999999999993E-2</v>
      </c>
      <c r="J44" s="57">
        <f t="shared" si="0"/>
        <v>6.9999999999999993E-2</v>
      </c>
      <c r="L44" s="58">
        <f t="shared" si="3"/>
        <v>1</v>
      </c>
      <c r="AC44" s="33">
        <f t="shared" si="4"/>
        <v>0</v>
      </c>
      <c r="AD44" s="14">
        <f t="shared" si="5"/>
        <v>6.9999999999999993E-2</v>
      </c>
      <c r="AE44" s="14">
        <f t="shared" si="6"/>
        <v>6.9999999999999993E-2</v>
      </c>
      <c r="AF44" s="59"/>
      <c r="AK44" s="32"/>
      <c r="AL44" s="33"/>
      <c r="AM44" s="32"/>
      <c r="AN44" s="33">
        <f t="shared" si="15"/>
        <v>0</v>
      </c>
      <c r="AO44" s="32"/>
      <c r="AP44" s="33"/>
      <c r="AQ44" s="32" t="str">
        <f t="shared" si="18"/>
        <v>Aw</v>
      </c>
      <c r="AR44" s="33">
        <f t="shared" si="13"/>
        <v>1</v>
      </c>
      <c r="AS44" s="33">
        <f t="shared" si="14"/>
        <v>1</v>
      </c>
      <c r="AT44" s="32" t="str">
        <f t="shared" si="7"/>
        <v>Toepasbaar</v>
      </c>
      <c r="AU44" s="33">
        <f t="shared" si="16"/>
        <v>0</v>
      </c>
      <c r="AV44" s="32" t="str">
        <f t="shared" si="8"/>
        <v>Toepasbaar</v>
      </c>
      <c r="AX44" s="33">
        <f t="shared" si="9"/>
        <v>0</v>
      </c>
      <c r="AY44" s="32" t="str">
        <f t="shared" si="10"/>
        <v>Toepasbaar</v>
      </c>
    </row>
    <row r="45" spans="1:51" ht="12" x14ac:dyDescent="0.15">
      <c r="A45" s="65" t="s">
        <v>21</v>
      </c>
      <c r="B45" s="15" t="s">
        <v>173</v>
      </c>
      <c r="C45" s="74" t="s">
        <v>154</v>
      </c>
      <c r="D45" s="90">
        <v>0.1</v>
      </c>
      <c r="E45" s="74" t="str">
        <f t="shared" si="1"/>
        <v>&lt;</v>
      </c>
      <c r="F45" s="74">
        <f t="shared" si="2"/>
        <v>0.1</v>
      </c>
      <c r="G45" s="13"/>
      <c r="H45" s="56">
        <f t="shared" si="11"/>
        <v>6.9999999999999993E-2</v>
      </c>
      <c r="I45" s="56">
        <f t="shared" si="12"/>
        <v>6.9999999999999993E-2</v>
      </c>
      <c r="J45" s="57">
        <f t="shared" si="0"/>
        <v>6.9999999999999993E-2</v>
      </c>
      <c r="L45" s="58">
        <f t="shared" si="3"/>
        <v>1</v>
      </c>
      <c r="AC45" s="33">
        <f t="shared" si="4"/>
        <v>0</v>
      </c>
      <c r="AD45" s="14">
        <f t="shared" si="5"/>
        <v>6.9999999999999993E-2</v>
      </c>
      <c r="AE45" s="14">
        <f t="shared" si="6"/>
        <v>6.9999999999999993E-2</v>
      </c>
      <c r="AK45" s="32"/>
      <c r="AL45" s="33"/>
      <c r="AM45" s="32"/>
      <c r="AN45" s="33">
        <f t="shared" si="15"/>
        <v>0</v>
      </c>
      <c r="AO45" s="32"/>
      <c r="AP45" s="33"/>
      <c r="AQ45" s="32" t="str">
        <f t="shared" si="18"/>
        <v>Aw</v>
      </c>
      <c r="AR45" s="33">
        <f t="shared" si="13"/>
        <v>1</v>
      </c>
      <c r="AS45" s="33">
        <f t="shared" si="14"/>
        <v>1</v>
      </c>
      <c r="AT45" s="32" t="str">
        <f t="shared" si="7"/>
        <v>Toepasbaar</v>
      </c>
      <c r="AU45" s="33">
        <f t="shared" si="16"/>
        <v>0</v>
      </c>
      <c r="AV45" s="32" t="str">
        <f t="shared" si="8"/>
        <v>Toepasbaar</v>
      </c>
      <c r="AX45" s="33">
        <f t="shared" si="9"/>
        <v>0</v>
      </c>
      <c r="AY45" s="32" t="str">
        <f t="shared" si="10"/>
        <v>Toepasbaar</v>
      </c>
    </row>
    <row r="46" spans="1:51" ht="12" x14ac:dyDescent="0.15">
      <c r="A46" s="65" t="s">
        <v>22</v>
      </c>
      <c r="B46" s="15" t="s">
        <v>49</v>
      </c>
      <c r="C46" s="74" t="s">
        <v>154</v>
      </c>
      <c r="D46" s="90">
        <v>0.1</v>
      </c>
      <c r="E46" s="74" t="str">
        <f t="shared" si="1"/>
        <v>&lt;</v>
      </c>
      <c r="F46" s="74">
        <f t="shared" si="2"/>
        <v>0.1</v>
      </c>
      <c r="G46" s="13"/>
      <c r="H46" s="56">
        <f t="shared" si="11"/>
        <v>6.9999999999999993E-2</v>
      </c>
      <c r="I46" s="56">
        <f t="shared" si="12"/>
        <v>6.9999999999999993E-2</v>
      </c>
      <c r="J46" s="57">
        <f t="shared" si="0"/>
        <v>6.9999999999999993E-2</v>
      </c>
      <c r="L46" s="58">
        <f t="shared" si="3"/>
        <v>1</v>
      </c>
      <c r="AC46" s="33">
        <f t="shared" si="4"/>
        <v>0</v>
      </c>
      <c r="AD46" s="14">
        <f t="shared" si="5"/>
        <v>6.9999999999999993E-2</v>
      </c>
      <c r="AE46" s="14">
        <f t="shared" si="6"/>
        <v>6.9999999999999993E-2</v>
      </c>
      <c r="AK46" s="32"/>
      <c r="AL46" s="33"/>
      <c r="AM46" s="32"/>
      <c r="AN46" s="33">
        <f t="shared" si="15"/>
        <v>0</v>
      </c>
      <c r="AO46" s="32"/>
      <c r="AP46" s="33"/>
      <c r="AQ46" s="32" t="str">
        <f t="shared" si="18"/>
        <v>Aw</v>
      </c>
      <c r="AR46" s="33">
        <f t="shared" si="13"/>
        <v>1</v>
      </c>
      <c r="AS46" s="33">
        <f t="shared" si="14"/>
        <v>1</v>
      </c>
      <c r="AT46" s="32" t="str">
        <f t="shared" si="7"/>
        <v>Toepasbaar</v>
      </c>
      <c r="AU46" s="33">
        <f t="shared" si="16"/>
        <v>0</v>
      </c>
      <c r="AV46" s="32" t="str">
        <f t="shared" si="8"/>
        <v>Toepasbaar</v>
      </c>
      <c r="AX46" s="33">
        <f t="shared" si="9"/>
        <v>0</v>
      </c>
      <c r="AY46" s="32" t="str">
        <f t="shared" si="10"/>
        <v>Toepasbaar</v>
      </c>
    </row>
    <row r="47" spans="1:51" ht="12" x14ac:dyDescent="0.15">
      <c r="A47" s="65" t="s">
        <v>23</v>
      </c>
      <c r="B47" s="15" t="s">
        <v>50</v>
      </c>
      <c r="C47" s="74" t="s">
        <v>154</v>
      </c>
      <c r="D47" s="90">
        <v>0.1</v>
      </c>
      <c r="E47" s="74" t="str">
        <f t="shared" si="1"/>
        <v>&lt;</v>
      </c>
      <c r="F47" s="74">
        <f t="shared" si="2"/>
        <v>0.1</v>
      </c>
      <c r="G47" s="13"/>
      <c r="H47" s="56">
        <f t="shared" si="11"/>
        <v>6.9999999999999993E-2</v>
      </c>
      <c r="I47" s="56">
        <f t="shared" si="12"/>
        <v>6.9999999999999993E-2</v>
      </c>
      <c r="J47" s="57">
        <f t="shared" si="0"/>
        <v>6.9999999999999993E-2</v>
      </c>
      <c r="L47" s="58">
        <f t="shared" si="3"/>
        <v>1</v>
      </c>
      <c r="AC47" s="33">
        <f t="shared" si="4"/>
        <v>0</v>
      </c>
      <c r="AD47" s="14">
        <f t="shared" si="5"/>
        <v>6.9999999999999993E-2</v>
      </c>
      <c r="AE47" s="14">
        <f t="shared" si="6"/>
        <v>6.9999999999999993E-2</v>
      </c>
      <c r="AK47" s="32"/>
      <c r="AL47" s="33"/>
      <c r="AM47" s="32"/>
      <c r="AN47" s="33">
        <f t="shared" si="15"/>
        <v>0</v>
      </c>
      <c r="AO47" s="32"/>
      <c r="AP47" s="33"/>
      <c r="AQ47" s="32" t="str">
        <f t="shared" si="18"/>
        <v>Aw</v>
      </c>
      <c r="AR47" s="33">
        <f t="shared" si="13"/>
        <v>1</v>
      </c>
      <c r="AS47" s="33">
        <f t="shared" si="14"/>
        <v>1</v>
      </c>
      <c r="AT47" s="32" t="str">
        <f t="shared" si="7"/>
        <v>Toepasbaar</v>
      </c>
      <c r="AU47" s="33">
        <f t="shared" si="16"/>
        <v>0</v>
      </c>
      <c r="AV47" s="32" t="str">
        <f t="shared" si="8"/>
        <v>Toepasbaar</v>
      </c>
      <c r="AX47" s="33">
        <f t="shared" si="9"/>
        <v>0</v>
      </c>
      <c r="AY47" s="32" t="str">
        <f t="shared" si="10"/>
        <v>Toepasbaar</v>
      </c>
    </row>
    <row r="48" spans="1:51" ht="12" x14ac:dyDescent="0.15">
      <c r="A48" s="65" t="s">
        <v>24</v>
      </c>
      <c r="B48" s="15" t="s">
        <v>51</v>
      </c>
      <c r="C48" s="74" t="s">
        <v>154</v>
      </c>
      <c r="D48" s="90">
        <v>0.1</v>
      </c>
      <c r="E48" s="74" t="str">
        <f t="shared" si="1"/>
        <v>&lt;</v>
      </c>
      <c r="F48" s="74">
        <f t="shared" si="2"/>
        <v>0.1</v>
      </c>
      <c r="G48" s="13"/>
      <c r="H48" s="56">
        <f t="shared" si="11"/>
        <v>6.9999999999999993E-2</v>
      </c>
      <c r="I48" s="56">
        <f t="shared" si="12"/>
        <v>6.9999999999999993E-2</v>
      </c>
      <c r="J48" s="57">
        <f t="shared" si="0"/>
        <v>6.9999999999999993E-2</v>
      </c>
      <c r="L48" s="58">
        <f t="shared" si="3"/>
        <v>1</v>
      </c>
      <c r="AC48" s="33">
        <f t="shared" si="4"/>
        <v>0</v>
      </c>
      <c r="AD48" s="14">
        <f t="shared" si="5"/>
        <v>6.9999999999999993E-2</v>
      </c>
      <c r="AE48" s="14">
        <f t="shared" si="6"/>
        <v>6.9999999999999993E-2</v>
      </c>
      <c r="AK48" s="32"/>
      <c r="AL48" s="33"/>
      <c r="AM48" s="32"/>
      <c r="AN48" s="33">
        <f t="shared" si="15"/>
        <v>0</v>
      </c>
      <c r="AO48" s="32"/>
      <c r="AP48" s="33"/>
      <c r="AQ48" s="32" t="str">
        <f t="shared" si="18"/>
        <v>Aw</v>
      </c>
      <c r="AR48" s="33">
        <f t="shared" si="13"/>
        <v>1</v>
      </c>
      <c r="AS48" s="33">
        <f t="shared" si="14"/>
        <v>1</v>
      </c>
      <c r="AT48" s="32" t="str">
        <f t="shared" si="7"/>
        <v>Toepasbaar</v>
      </c>
      <c r="AU48" s="33">
        <f t="shared" si="16"/>
        <v>0</v>
      </c>
      <c r="AV48" s="32" t="str">
        <f t="shared" si="8"/>
        <v>Toepasbaar</v>
      </c>
      <c r="AX48" s="33">
        <f t="shared" si="9"/>
        <v>0</v>
      </c>
      <c r="AY48" s="32" t="str">
        <f t="shared" si="10"/>
        <v>Toepasbaar</v>
      </c>
    </row>
    <row r="49" spans="1:51" ht="12" x14ac:dyDescent="0.15">
      <c r="A49" s="65" t="s">
        <v>25</v>
      </c>
      <c r="B49" s="15" t="s">
        <v>52</v>
      </c>
      <c r="C49" s="74" t="s">
        <v>154</v>
      </c>
      <c r="D49" s="90">
        <v>0.1</v>
      </c>
      <c r="E49" s="74" t="str">
        <f t="shared" si="1"/>
        <v>&lt;</v>
      </c>
      <c r="F49" s="74">
        <f t="shared" si="2"/>
        <v>0.1</v>
      </c>
      <c r="G49" s="13"/>
      <c r="H49" s="56">
        <f t="shared" si="11"/>
        <v>6.9999999999999993E-2</v>
      </c>
      <c r="I49" s="56">
        <f t="shared" si="12"/>
        <v>6.9999999999999993E-2</v>
      </c>
      <c r="J49" s="57">
        <f t="shared" si="0"/>
        <v>6.9999999999999993E-2</v>
      </c>
      <c r="L49" s="58">
        <f t="shared" si="3"/>
        <v>1</v>
      </c>
      <c r="AC49" s="33">
        <f t="shared" si="4"/>
        <v>0</v>
      </c>
      <c r="AD49" s="14">
        <f t="shared" si="5"/>
        <v>6.9999999999999993E-2</v>
      </c>
      <c r="AE49" s="14">
        <f t="shared" si="6"/>
        <v>6.9999999999999993E-2</v>
      </c>
      <c r="AK49" s="32"/>
      <c r="AL49" s="33"/>
      <c r="AM49" s="32"/>
      <c r="AN49" s="33">
        <f t="shared" si="15"/>
        <v>0</v>
      </c>
      <c r="AO49" s="32"/>
      <c r="AP49" s="33"/>
      <c r="AQ49" s="32" t="str">
        <f t="shared" si="18"/>
        <v>Aw</v>
      </c>
      <c r="AR49" s="33">
        <f t="shared" si="13"/>
        <v>1</v>
      </c>
      <c r="AS49" s="33">
        <f t="shared" si="14"/>
        <v>1</v>
      </c>
      <c r="AT49" s="32" t="str">
        <f t="shared" si="7"/>
        <v>Toepasbaar</v>
      </c>
      <c r="AU49" s="33">
        <f t="shared" si="16"/>
        <v>0</v>
      </c>
      <c r="AV49" s="32" t="str">
        <f t="shared" si="8"/>
        <v>Toepasbaar</v>
      </c>
      <c r="AX49" s="33">
        <f t="shared" si="9"/>
        <v>0</v>
      </c>
      <c r="AY49" s="32" t="str">
        <f t="shared" si="10"/>
        <v>Toepasbaar</v>
      </c>
    </row>
    <row r="50" spans="1:51" ht="12" x14ac:dyDescent="0.15">
      <c r="A50" s="65" t="s">
        <v>26</v>
      </c>
      <c r="B50" s="15" t="s">
        <v>53</v>
      </c>
      <c r="C50" s="74" t="s">
        <v>154</v>
      </c>
      <c r="D50" s="90">
        <v>0.1</v>
      </c>
      <c r="E50" s="74" t="str">
        <f t="shared" si="1"/>
        <v>&lt;</v>
      </c>
      <c r="F50" s="74">
        <f t="shared" si="2"/>
        <v>0.1</v>
      </c>
      <c r="G50" s="13"/>
      <c r="H50" s="56">
        <f t="shared" si="11"/>
        <v>6.9999999999999993E-2</v>
      </c>
      <c r="I50" s="56">
        <f t="shared" si="12"/>
        <v>6.9999999999999993E-2</v>
      </c>
      <c r="J50" s="57">
        <f t="shared" si="0"/>
        <v>6.9999999999999993E-2</v>
      </c>
      <c r="L50" s="58">
        <f t="shared" si="3"/>
        <v>1</v>
      </c>
      <c r="AC50" s="33">
        <f t="shared" si="4"/>
        <v>0</v>
      </c>
      <c r="AD50" s="14">
        <f t="shared" si="5"/>
        <v>6.9999999999999993E-2</v>
      </c>
      <c r="AE50" s="14">
        <f t="shared" si="6"/>
        <v>6.9999999999999993E-2</v>
      </c>
      <c r="AK50" s="32"/>
      <c r="AL50" s="33"/>
      <c r="AM50" s="32"/>
      <c r="AN50" s="33">
        <f t="shared" si="15"/>
        <v>0</v>
      </c>
      <c r="AO50" s="32"/>
      <c r="AP50" s="33"/>
      <c r="AQ50" s="32" t="str">
        <f t="shared" si="18"/>
        <v>Aw</v>
      </c>
      <c r="AR50" s="33">
        <f t="shared" si="13"/>
        <v>1</v>
      </c>
      <c r="AS50" s="33">
        <f t="shared" si="14"/>
        <v>1</v>
      </c>
      <c r="AT50" s="32" t="str">
        <f t="shared" si="7"/>
        <v>Toepasbaar</v>
      </c>
      <c r="AU50" s="33">
        <f t="shared" si="16"/>
        <v>0</v>
      </c>
      <c r="AV50" s="32" t="str">
        <f t="shared" si="8"/>
        <v>Toepasbaar</v>
      </c>
      <c r="AX50" s="33">
        <f t="shared" si="9"/>
        <v>0</v>
      </c>
      <c r="AY50" s="32" t="str">
        <f t="shared" si="10"/>
        <v>Toepasbaar</v>
      </c>
    </row>
    <row r="51" spans="1:51" ht="12" x14ac:dyDescent="0.15">
      <c r="A51" s="65" t="s">
        <v>27</v>
      </c>
      <c r="B51" s="15" t="s">
        <v>54</v>
      </c>
      <c r="C51" s="74" t="s">
        <v>154</v>
      </c>
      <c r="D51" s="90">
        <v>0.1</v>
      </c>
      <c r="E51" s="74" t="str">
        <f t="shared" si="1"/>
        <v>&lt;</v>
      </c>
      <c r="F51" s="74">
        <f t="shared" si="2"/>
        <v>0.1</v>
      </c>
      <c r="G51" s="13"/>
      <c r="H51" s="56">
        <f t="shared" si="11"/>
        <v>6.9999999999999993E-2</v>
      </c>
      <c r="I51" s="56">
        <f t="shared" si="12"/>
        <v>6.9999999999999993E-2</v>
      </c>
      <c r="J51" s="57">
        <f t="shared" si="0"/>
        <v>6.9999999999999993E-2</v>
      </c>
      <c r="L51" s="58">
        <f t="shared" si="3"/>
        <v>1</v>
      </c>
      <c r="AC51" s="33">
        <f t="shared" si="4"/>
        <v>0</v>
      </c>
      <c r="AD51" s="14">
        <f t="shared" si="5"/>
        <v>6.9999999999999993E-2</v>
      </c>
      <c r="AE51" s="14">
        <f t="shared" si="6"/>
        <v>6.9999999999999993E-2</v>
      </c>
      <c r="AK51" s="32"/>
      <c r="AL51" s="33"/>
      <c r="AM51" s="32"/>
      <c r="AN51" s="33">
        <f t="shared" si="15"/>
        <v>0</v>
      </c>
      <c r="AO51" s="32"/>
      <c r="AP51" s="33"/>
      <c r="AQ51" s="32" t="str">
        <f t="shared" si="18"/>
        <v>Aw</v>
      </c>
      <c r="AR51" s="33">
        <f t="shared" si="13"/>
        <v>1</v>
      </c>
      <c r="AS51" s="33">
        <f t="shared" si="14"/>
        <v>1</v>
      </c>
      <c r="AT51" s="32" t="str">
        <f t="shared" si="7"/>
        <v>Toepasbaar</v>
      </c>
      <c r="AU51" s="33">
        <f t="shared" si="16"/>
        <v>0</v>
      </c>
      <c r="AV51" s="32" t="str">
        <f t="shared" si="8"/>
        <v>Toepasbaar</v>
      </c>
      <c r="AX51" s="33">
        <f t="shared" si="9"/>
        <v>0</v>
      </c>
      <c r="AY51" s="32" t="str">
        <f t="shared" si="10"/>
        <v>Toepasbaar</v>
      </c>
    </row>
    <row r="52" spans="1:51" ht="12" x14ac:dyDescent="0.15">
      <c r="A52" s="65" t="s">
        <v>28</v>
      </c>
      <c r="B52" s="15" t="s">
        <v>55</v>
      </c>
      <c r="C52" s="74" t="s">
        <v>154</v>
      </c>
      <c r="D52" s="90">
        <v>0.1</v>
      </c>
      <c r="E52" s="74" t="str">
        <f t="shared" si="1"/>
        <v>&lt;</v>
      </c>
      <c r="F52" s="74">
        <f t="shared" si="2"/>
        <v>0.1</v>
      </c>
      <c r="G52" s="13"/>
      <c r="H52" s="56">
        <f t="shared" si="11"/>
        <v>6.9999999999999993E-2</v>
      </c>
      <c r="I52" s="56">
        <f t="shared" si="12"/>
        <v>6.9999999999999993E-2</v>
      </c>
      <c r="J52" s="57">
        <f t="shared" si="0"/>
        <v>6.9999999999999993E-2</v>
      </c>
      <c r="L52" s="58">
        <f t="shared" si="3"/>
        <v>1</v>
      </c>
      <c r="AC52" s="33">
        <f t="shared" si="4"/>
        <v>0</v>
      </c>
      <c r="AD52" s="14">
        <f t="shared" si="5"/>
        <v>6.9999999999999993E-2</v>
      </c>
      <c r="AE52" s="14">
        <f t="shared" si="6"/>
        <v>6.9999999999999993E-2</v>
      </c>
      <c r="AK52" s="32"/>
      <c r="AL52" s="33"/>
      <c r="AM52" s="32"/>
      <c r="AN52" s="33">
        <f t="shared" si="15"/>
        <v>0</v>
      </c>
      <c r="AO52" s="32"/>
      <c r="AP52" s="33"/>
      <c r="AQ52" s="32" t="str">
        <f t="shared" si="18"/>
        <v>Aw</v>
      </c>
      <c r="AR52" s="33">
        <f t="shared" si="13"/>
        <v>1</v>
      </c>
      <c r="AS52" s="33">
        <f t="shared" si="14"/>
        <v>1</v>
      </c>
      <c r="AT52" s="32" t="str">
        <f t="shared" si="7"/>
        <v>Toepasbaar</v>
      </c>
      <c r="AU52" s="33">
        <f t="shared" si="16"/>
        <v>0</v>
      </c>
      <c r="AV52" s="32" t="str">
        <f t="shared" si="8"/>
        <v>Toepasbaar</v>
      </c>
      <c r="AX52" s="33">
        <f t="shared" si="9"/>
        <v>0</v>
      </c>
      <c r="AY52" s="32" t="str">
        <f t="shared" si="10"/>
        <v>Toepasbaar</v>
      </c>
    </row>
    <row r="53" spans="1:51" ht="12" x14ac:dyDescent="0.15">
      <c r="A53" s="65" t="s">
        <v>29</v>
      </c>
      <c r="B53" s="15" t="s">
        <v>56</v>
      </c>
      <c r="C53" s="74" t="s">
        <v>154</v>
      </c>
      <c r="D53" s="90">
        <v>0.1</v>
      </c>
      <c r="E53" s="74" t="str">
        <f t="shared" si="1"/>
        <v>&lt;</v>
      </c>
      <c r="F53" s="74">
        <f t="shared" si="2"/>
        <v>0.1</v>
      </c>
      <c r="G53" s="13"/>
      <c r="H53" s="56">
        <f t="shared" si="11"/>
        <v>6.9999999999999993E-2</v>
      </c>
      <c r="I53" s="56">
        <f t="shared" si="12"/>
        <v>6.9999999999999993E-2</v>
      </c>
      <c r="J53" s="57">
        <f t="shared" si="0"/>
        <v>6.9999999999999993E-2</v>
      </c>
      <c r="L53" s="58">
        <f t="shared" si="3"/>
        <v>1</v>
      </c>
      <c r="AC53" s="33">
        <f t="shared" si="4"/>
        <v>0</v>
      </c>
      <c r="AD53" s="14">
        <f t="shared" si="5"/>
        <v>6.9999999999999993E-2</v>
      </c>
      <c r="AE53" s="14">
        <f t="shared" si="6"/>
        <v>6.9999999999999993E-2</v>
      </c>
      <c r="AK53" s="32"/>
      <c r="AL53" s="33"/>
      <c r="AM53" s="32"/>
      <c r="AN53" s="33">
        <f t="shared" si="15"/>
        <v>0</v>
      </c>
      <c r="AO53" s="32"/>
      <c r="AP53" s="33"/>
      <c r="AQ53" s="32" t="str">
        <f t="shared" si="18"/>
        <v>Aw</v>
      </c>
      <c r="AR53" s="33">
        <f t="shared" si="13"/>
        <v>1</v>
      </c>
      <c r="AS53" s="33">
        <f t="shared" si="14"/>
        <v>1</v>
      </c>
      <c r="AT53" s="32" t="str">
        <f t="shared" si="7"/>
        <v>Toepasbaar</v>
      </c>
      <c r="AU53" s="33">
        <f t="shared" si="16"/>
        <v>0</v>
      </c>
      <c r="AV53" s="32" t="str">
        <f t="shared" si="8"/>
        <v>Toepasbaar</v>
      </c>
      <c r="AX53" s="33">
        <f t="shared" si="9"/>
        <v>0</v>
      </c>
      <c r="AY53" s="32" t="str">
        <f t="shared" si="10"/>
        <v>Toepasbaar</v>
      </c>
    </row>
    <row r="54" spans="1:51" ht="12" x14ac:dyDescent="0.15">
      <c r="A54" s="66" t="s">
        <v>153</v>
      </c>
      <c r="B54" s="15" t="s">
        <v>174</v>
      </c>
      <c r="C54" s="74" t="s">
        <v>154</v>
      </c>
      <c r="D54" s="91">
        <v>0.1</v>
      </c>
      <c r="E54" s="74" t="str">
        <f t="shared" si="1"/>
        <v>&lt;</v>
      </c>
      <c r="F54" s="91">
        <f t="shared" si="2"/>
        <v>0.1</v>
      </c>
      <c r="G54" s="13"/>
      <c r="H54" s="56">
        <f t="shared" si="11"/>
        <v>6.9999999999999993E-2</v>
      </c>
      <c r="I54" s="56">
        <f t="shared" si="12"/>
        <v>6.9999999999999993E-2</v>
      </c>
      <c r="J54" s="57">
        <f t="shared" si="0"/>
        <v>6.9999999999999993E-2</v>
      </c>
      <c r="L54" s="58">
        <f t="shared" si="3"/>
        <v>1</v>
      </c>
      <c r="AC54" s="33">
        <f t="shared" si="4"/>
        <v>0</v>
      </c>
      <c r="AD54" s="14">
        <f t="shared" si="5"/>
        <v>6.9999999999999993E-2</v>
      </c>
      <c r="AE54" s="14">
        <f t="shared" si="6"/>
        <v>6.9999999999999993E-2</v>
      </c>
      <c r="AK54" s="32" t="str">
        <f>IF(J54&lt;=$T$8,"L/N",IF(J54&lt;=$T$9,"W of I",IF(J54&gt;$T$10,"NT")))</f>
        <v>L/N</v>
      </c>
      <c r="AL54" s="33">
        <f t="shared" si="17"/>
        <v>0</v>
      </c>
      <c r="AM54" s="32"/>
      <c r="AN54" s="33"/>
      <c r="AO54" s="32"/>
      <c r="AP54" s="33"/>
      <c r="AQ54" s="32"/>
      <c r="AR54" s="33">
        <f t="shared" si="13"/>
        <v>0</v>
      </c>
      <c r="AS54" s="33">
        <f t="shared" si="14"/>
        <v>0</v>
      </c>
      <c r="AT54" s="32" t="str">
        <f>IF(J54&gt;$C$104,"Niet Toepasbaar","Toepasbaar")</f>
        <v>Toepasbaar</v>
      </c>
      <c r="AU54" s="33">
        <f t="shared" si="16"/>
        <v>0</v>
      </c>
      <c r="AV54" s="32" t="str">
        <f>IF(J54&gt;$C$105,"Niet Toepasbaar","Toepasbaar")</f>
        <v>Toepasbaar</v>
      </c>
      <c r="AX54" s="33">
        <f t="shared" si="9"/>
        <v>0</v>
      </c>
      <c r="AY54" s="32" t="str">
        <f t="shared" si="10"/>
        <v>Toepasbaar</v>
      </c>
    </row>
    <row r="55" spans="1:51" ht="12" x14ac:dyDescent="0.15">
      <c r="A55" s="66" t="s">
        <v>40</v>
      </c>
      <c r="B55" s="15" t="s">
        <v>40</v>
      </c>
      <c r="C55" s="74" t="s">
        <v>154</v>
      </c>
      <c r="D55" s="91">
        <v>0.1</v>
      </c>
      <c r="E55" s="74" t="str">
        <f t="shared" si="1"/>
        <v>&lt;</v>
      </c>
      <c r="F55" s="91">
        <f t="shared" si="2"/>
        <v>0.1</v>
      </c>
      <c r="G55" s="13"/>
      <c r="H55" s="56">
        <f t="shared" si="11"/>
        <v>6.9999999999999993E-2</v>
      </c>
      <c r="I55" s="56">
        <f t="shared" si="12"/>
        <v>6.9999999999999993E-2</v>
      </c>
      <c r="J55" s="57">
        <f t="shared" si="0"/>
        <v>6.9999999999999993E-2</v>
      </c>
      <c r="L55" s="58">
        <f t="shared" si="3"/>
        <v>1</v>
      </c>
      <c r="AC55" s="33">
        <f t="shared" si="4"/>
        <v>0</v>
      </c>
      <c r="AD55" s="14">
        <f t="shared" si="5"/>
        <v>6.9999999999999993E-2</v>
      </c>
      <c r="AE55" s="14">
        <f t="shared" si="6"/>
        <v>6.9999999999999993E-2</v>
      </c>
      <c r="AK55" s="32" t="str">
        <f>IF(J55&lt;=$T$8,"L/N",IF(J55&lt;=$T$9,"W of I",IF(J55&gt;$T$10,"NT")))</f>
        <v>L/N</v>
      </c>
      <c r="AL55" s="33">
        <f t="shared" si="17"/>
        <v>0</v>
      </c>
      <c r="AM55" s="32"/>
      <c r="AN55" s="33"/>
      <c r="AO55" s="32"/>
      <c r="AP55" s="33"/>
      <c r="AQ55" s="32"/>
      <c r="AR55" s="33">
        <f t="shared" si="13"/>
        <v>0</v>
      </c>
      <c r="AS55" s="33">
        <f t="shared" si="14"/>
        <v>0</v>
      </c>
      <c r="AT55" s="32" t="str">
        <f>IF(J55&gt;$C$104,"Niet Toepasbaar","Toepasbaar")</f>
        <v>Toepasbaar</v>
      </c>
      <c r="AU55" s="33">
        <f>IF(AT55="Niet Toepasbaar",1,0)</f>
        <v>0</v>
      </c>
      <c r="AV55" s="32" t="str">
        <f>IF(J55&gt;$C$105,"Niet Toepasbaar","Toepasbaar")</f>
        <v>Toepasbaar</v>
      </c>
      <c r="AX55" s="33">
        <f t="shared" si="9"/>
        <v>0</v>
      </c>
      <c r="AY55" s="32" t="str">
        <f t="shared" si="10"/>
        <v>Toepasbaar</v>
      </c>
    </row>
    <row r="56" spans="1:51" ht="12" x14ac:dyDescent="0.15">
      <c r="A56" s="65" t="s">
        <v>30</v>
      </c>
      <c r="B56" s="15" t="s">
        <v>58</v>
      </c>
      <c r="C56" s="74" t="s">
        <v>154</v>
      </c>
      <c r="D56" s="90">
        <v>0.1</v>
      </c>
      <c r="E56" s="74" t="str">
        <f t="shared" si="1"/>
        <v>&lt;</v>
      </c>
      <c r="F56" s="74">
        <f t="shared" si="2"/>
        <v>0.1</v>
      </c>
      <c r="G56" s="13"/>
      <c r="H56" s="56">
        <f t="shared" si="11"/>
        <v>6.9999999999999993E-2</v>
      </c>
      <c r="I56" s="56">
        <f t="shared" si="12"/>
        <v>6.9999999999999993E-2</v>
      </c>
      <c r="J56" s="57">
        <f t="shared" si="0"/>
        <v>6.9999999999999993E-2</v>
      </c>
      <c r="L56" s="58">
        <f t="shared" si="3"/>
        <v>1</v>
      </c>
      <c r="AC56" s="33">
        <f t="shared" si="4"/>
        <v>0</v>
      </c>
      <c r="AD56" s="14">
        <f t="shared" si="5"/>
        <v>6.9999999999999993E-2</v>
      </c>
      <c r="AE56" s="14">
        <f t="shared" si="6"/>
        <v>6.9999999999999993E-2</v>
      </c>
      <c r="AK56" s="32"/>
      <c r="AL56" s="33"/>
      <c r="AM56" s="32"/>
      <c r="AN56" s="33">
        <f t="shared" si="15"/>
        <v>0</v>
      </c>
      <c r="AO56" s="32"/>
      <c r="AP56" s="33"/>
      <c r="AQ56" s="32" t="str">
        <f t="shared" ref="AQ56:AQ65" si="19">IF(J56&lt;=$Y$11,"Aw",IF(J56&lt;=$Y$8,"L/N",IF(J56&lt;=$Y$9,"W of I",IF(J56&gt;$Y$10,"NT"))))</f>
        <v>Aw</v>
      </c>
      <c r="AR56" s="33">
        <f t="shared" si="13"/>
        <v>1</v>
      </c>
      <c r="AS56" s="33">
        <f t="shared" si="14"/>
        <v>1</v>
      </c>
      <c r="AT56" s="32" t="str">
        <f t="shared" ref="AT56:AT66" si="20">IF(J56&gt;$F$104,"Niet Toepasbaar","Toepasbaar")</f>
        <v>Toepasbaar</v>
      </c>
      <c r="AU56" s="33">
        <f t="shared" si="16"/>
        <v>0</v>
      </c>
      <c r="AV56" s="32" t="str">
        <f t="shared" ref="AV56:AV66" si="21">IF(J56&gt;$F$105,"Niet Toepasbaar","Toepasbaar")</f>
        <v>Toepasbaar</v>
      </c>
      <c r="AX56" s="33">
        <f t="shared" si="9"/>
        <v>0</v>
      </c>
      <c r="AY56" s="32" t="str">
        <f t="shared" si="10"/>
        <v>Toepasbaar</v>
      </c>
    </row>
    <row r="57" spans="1:51" ht="12" x14ac:dyDescent="0.15">
      <c r="A57" s="65" t="s">
        <v>31</v>
      </c>
      <c r="B57" s="15" t="s">
        <v>59</v>
      </c>
      <c r="C57" s="74" t="s">
        <v>154</v>
      </c>
      <c r="D57" s="90">
        <v>0.1</v>
      </c>
      <c r="E57" s="74" t="str">
        <f t="shared" si="1"/>
        <v>&lt;</v>
      </c>
      <c r="F57" s="74">
        <f t="shared" si="2"/>
        <v>0.1</v>
      </c>
      <c r="G57" s="13"/>
      <c r="H57" s="56">
        <f t="shared" si="11"/>
        <v>6.9999999999999993E-2</v>
      </c>
      <c r="I57" s="56">
        <f t="shared" si="12"/>
        <v>6.9999999999999993E-2</v>
      </c>
      <c r="J57" s="57">
        <f t="shared" si="0"/>
        <v>6.9999999999999993E-2</v>
      </c>
      <c r="L57" s="58">
        <f t="shared" si="3"/>
        <v>1</v>
      </c>
      <c r="AC57" s="33">
        <f t="shared" si="4"/>
        <v>0</v>
      </c>
      <c r="AD57" s="14">
        <f t="shared" si="5"/>
        <v>6.9999999999999993E-2</v>
      </c>
      <c r="AE57" s="14">
        <f t="shared" si="6"/>
        <v>6.9999999999999993E-2</v>
      </c>
      <c r="AK57" s="32"/>
      <c r="AL57" s="33"/>
      <c r="AM57" s="32"/>
      <c r="AN57" s="33">
        <f t="shared" si="15"/>
        <v>0</v>
      </c>
      <c r="AO57" s="32"/>
      <c r="AP57" s="33"/>
      <c r="AQ57" s="32" t="str">
        <f t="shared" si="19"/>
        <v>Aw</v>
      </c>
      <c r="AR57" s="33">
        <f t="shared" si="13"/>
        <v>1</v>
      </c>
      <c r="AS57" s="33">
        <f t="shared" si="14"/>
        <v>1</v>
      </c>
      <c r="AT57" s="32" t="str">
        <f t="shared" si="20"/>
        <v>Toepasbaar</v>
      </c>
      <c r="AU57" s="33">
        <f t="shared" si="16"/>
        <v>0</v>
      </c>
      <c r="AV57" s="32" t="str">
        <f t="shared" si="21"/>
        <v>Toepasbaar</v>
      </c>
      <c r="AX57" s="33">
        <f t="shared" si="9"/>
        <v>0</v>
      </c>
      <c r="AY57" s="32" t="str">
        <f t="shared" si="10"/>
        <v>Toepasbaar</v>
      </c>
    </row>
    <row r="58" spans="1:51" ht="12" x14ac:dyDescent="0.15">
      <c r="A58" s="65" t="s">
        <v>32</v>
      </c>
      <c r="B58" s="15" t="s">
        <v>60</v>
      </c>
      <c r="C58" s="74" t="s">
        <v>154</v>
      </c>
      <c r="D58" s="90">
        <v>0.1</v>
      </c>
      <c r="E58" s="74" t="str">
        <f t="shared" si="1"/>
        <v>&lt;</v>
      </c>
      <c r="F58" s="74">
        <f t="shared" si="2"/>
        <v>0.1</v>
      </c>
      <c r="G58" s="13"/>
      <c r="H58" s="56">
        <f t="shared" si="11"/>
        <v>6.9999999999999993E-2</v>
      </c>
      <c r="I58" s="56">
        <f t="shared" si="12"/>
        <v>6.9999999999999993E-2</v>
      </c>
      <c r="J58" s="57">
        <f t="shared" si="0"/>
        <v>6.9999999999999993E-2</v>
      </c>
      <c r="L58" s="58">
        <f t="shared" si="3"/>
        <v>1</v>
      </c>
      <c r="AC58" s="33">
        <f t="shared" si="4"/>
        <v>0</v>
      </c>
      <c r="AD58" s="14">
        <f t="shared" si="5"/>
        <v>6.9999999999999993E-2</v>
      </c>
      <c r="AE58" s="14">
        <f t="shared" si="6"/>
        <v>6.9999999999999993E-2</v>
      </c>
      <c r="AK58" s="32"/>
      <c r="AL58" s="33"/>
      <c r="AM58" s="32"/>
      <c r="AN58" s="33">
        <f t="shared" si="15"/>
        <v>0</v>
      </c>
      <c r="AO58" s="32"/>
      <c r="AP58" s="33"/>
      <c r="AQ58" s="32" t="str">
        <f t="shared" si="19"/>
        <v>Aw</v>
      </c>
      <c r="AR58" s="33">
        <f t="shared" si="13"/>
        <v>1</v>
      </c>
      <c r="AS58" s="33">
        <f t="shared" si="14"/>
        <v>1</v>
      </c>
      <c r="AT58" s="32" t="str">
        <f t="shared" si="20"/>
        <v>Toepasbaar</v>
      </c>
      <c r="AU58" s="33">
        <f t="shared" si="16"/>
        <v>0</v>
      </c>
      <c r="AV58" s="32" t="str">
        <f t="shared" si="21"/>
        <v>Toepasbaar</v>
      </c>
      <c r="AX58" s="33">
        <f t="shared" si="9"/>
        <v>0</v>
      </c>
      <c r="AY58" s="32" t="str">
        <f t="shared" si="10"/>
        <v>Toepasbaar</v>
      </c>
    </row>
    <row r="59" spans="1:51" ht="12" x14ac:dyDescent="0.15">
      <c r="A59" s="65" t="s">
        <v>33</v>
      </c>
      <c r="B59" s="15" t="s">
        <v>61</v>
      </c>
      <c r="C59" s="74" t="s">
        <v>154</v>
      </c>
      <c r="D59" s="90">
        <v>0.1</v>
      </c>
      <c r="E59" s="74" t="str">
        <f t="shared" si="1"/>
        <v>&lt;</v>
      </c>
      <c r="F59" s="74">
        <f t="shared" si="2"/>
        <v>0.1</v>
      </c>
      <c r="G59" s="13"/>
      <c r="H59" s="56">
        <f t="shared" si="11"/>
        <v>6.9999999999999993E-2</v>
      </c>
      <c r="I59" s="56">
        <f t="shared" si="12"/>
        <v>6.9999999999999993E-2</v>
      </c>
      <c r="J59" s="57">
        <f t="shared" si="0"/>
        <v>6.9999999999999993E-2</v>
      </c>
      <c r="L59" s="58">
        <f t="shared" si="3"/>
        <v>1</v>
      </c>
      <c r="AC59" s="33">
        <f t="shared" si="4"/>
        <v>0</v>
      </c>
      <c r="AD59" s="14">
        <f t="shared" si="5"/>
        <v>6.9999999999999993E-2</v>
      </c>
      <c r="AE59" s="14">
        <f t="shared" si="6"/>
        <v>6.9999999999999993E-2</v>
      </c>
      <c r="AK59" s="32"/>
      <c r="AL59" s="33"/>
      <c r="AM59" s="32"/>
      <c r="AN59" s="33">
        <f t="shared" si="15"/>
        <v>0</v>
      </c>
      <c r="AO59" s="32"/>
      <c r="AP59" s="33"/>
      <c r="AQ59" s="32" t="str">
        <f t="shared" si="19"/>
        <v>Aw</v>
      </c>
      <c r="AR59" s="33">
        <f t="shared" si="13"/>
        <v>1</v>
      </c>
      <c r="AS59" s="33">
        <f t="shared" si="14"/>
        <v>1</v>
      </c>
      <c r="AT59" s="32" t="str">
        <f t="shared" si="20"/>
        <v>Toepasbaar</v>
      </c>
      <c r="AU59" s="33">
        <f t="shared" si="16"/>
        <v>0</v>
      </c>
      <c r="AV59" s="32" t="str">
        <f t="shared" si="21"/>
        <v>Toepasbaar</v>
      </c>
      <c r="AX59" s="33">
        <f t="shared" si="9"/>
        <v>0</v>
      </c>
      <c r="AY59" s="32" t="str">
        <f t="shared" si="10"/>
        <v>Toepasbaar</v>
      </c>
    </row>
    <row r="60" spans="1:51" ht="12" x14ac:dyDescent="0.15">
      <c r="A60" s="65" t="s">
        <v>34</v>
      </c>
      <c r="B60" s="15" t="s">
        <v>62</v>
      </c>
      <c r="C60" s="74" t="s">
        <v>154</v>
      </c>
      <c r="D60" s="90">
        <v>0.1</v>
      </c>
      <c r="E60" s="74" t="str">
        <f t="shared" si="1"/>
        <v>&lt;</v>
      </c>
      <c r="F60" s="74">
        <f t="shared" si="2"/>
        <v>0.1</v>
      </c>
      <c r="G60" s="13"/>
      <c r="H60" s="56">
        <f t="shared" si="11"/>
        <v>6.9999999999999993E-2</v>
      </c>
      <c r="I60" s="56">
        <f t="shared" si="12"/>
        <v>6.9999999999999993E-2</v>
      </c>
      <c r="J60" s="57">
        <f t="shared" si="0"/>
        <v>6.9999999999999993E-2</v>
      </c>
      <c r="L60" s="58">
        <f t="shared" si="3"/>
        <v>1</v>
      </c>
      <c r="AC60" s="33">
        <f t="shared" si="4"/>
        <v>0</v>
      </c>
      <c r="AD60" s="14">
        <f t="shared" si="5"/>
        <v>6.9999999999999993E-2</v>
      </c>
      <c r="AE60" s="14">
        <f t="shared" si="6"/>
        <v>6.9999999999999993E-2</v>
      </c>
      <c r="AK60" s="32"/>
      <c r="AL60" s="33"/>
      <c r="AM60" s="32"/>
      <c r="AN60" s="33">
        <f t="shared" si="15"/>
        <v>0</v>
      </c>
      <c r="AO60" s="32"/>
      <c r="AP60" s="33"/>
      <c r="AQ60" s="32" t="str">
        <f t="shared" si="19"/>
        <v>Aw</v>
      </c>
      <c r="AR60" s="33">
        <f t="shared" si="13"/>
        <v>1</v>
      </c>
      <c r="AS60" s="33">
        <f t="shared" si="14"/>
        <v>1</v>
      </c>
      <c r="AT60" s="32" t="str">
        <f t="shared" si="20"/>
        <v>Toepasbaar</v>
      </c>
      <c r="AU60" s="33">
        <f t="shared" si="16"/>
        <v>0</v>
      </c>
      <c r="AV60" s="32" t="str">
        <f t="shared" si="21"/>
        <v>Toepasbaar</v>
      </c>
      <c r="AX60" s="33">
        <f t="shared" si="9"/>
        <v>0</v>
      </c>
      <c r="AY60" s="32" t="str">
        <f t="shared" si="10"/>
        <v>Toepasbaar</v>
      </c>
    </row>
    <row r="61" spans="1:51" ht="12" x14ac:dyDescent="0.15">
      <c r="A61" s="65" t="s">
        <v>38</v>
      </c>
      <c r="B61" s="15" t="s">
        <v>66</v>
      </c>
      <c r="C61" s="74" t="s">
        <v>154</v>
      </c>
      <c r="D61" s="90">
        <v>0.1</v>
      </c>
      <c r="E61" s="74" t="str">
        <f t="shared" si="1"/>
        <v>&lt;</v>
      </c>
      <c r="F61" s="74">
        <f t="shared" si="2"/>
        <v>0.1</v>
      </c>
      <c r="G61" s="13"/>
      <c r="H61" s="56">
        <f t="shared" si="11"/>
        <v>6.9999999999999993E-2</v>
      </c>
      <c r="I61" s="56">
        <f t="shared" si="12"/>
        <v>6.9999999999999993E-2</v>
      </c>
      <c r="J61" s="57">
        <f t="shared" si="0"/>
        <v>6.9999999999999993E-2</v>
      </c>
      <c r="L61" s="58">
        <f t="shared" si="3"/>
        <v>1</v>
      </c>
      <c r="AC61" s="33">
        <f t="shared" si="4"/>
        <v>0</v>
      </c>
      <c r="AD61" s="14">
        <f t="shared" si="5"/>
        <v>6.9999999999999993E-2</v>
      </c>
      <c r="AE61" s="14">
        <f t="shared" si="6"/>
        <v>6.9999999999999993E-2</v>
      </c>
      <c r="AK61" s="32"/>
      <c r="AL61" s="33"/>
      <c r="AM61" s="32"/>
      <c r="AN61" s="33">
        <f t="shared" si="15"/>
        <v>0</v>
      </c>
      <c r="AO61" s="32"/>
      <c r="AP61" s="33"/>
      <c r="AQ61" s="32" t="str">
        <f t="shared" si="19"/>
        <v>Aw</v>
      </c>
      <c r="AR61" s="33">
        <f t="shared" si="13"/>
        <v>1</v>
      </c>
      <c r="AS61" s="33">
        <f t="shared" si="14"/>
        <v>1</v>
      </c>
      <c r="AT61" s="32" t="str">
        <f t="shared" si="20"/>
        <v>Toepasbaar</v>
      </c>
      <c r="AU61" s="33">
        <f>IF(AT61="Niet Toepasbaar",1,0)</f>
        <v>0</v>
      </c>
      <c r="AV61" s="32" t="str">
        <f t="shared" si="21"/>
        <v>Toepasbaar</v>
      </c>
      <c r="AX61" s="33">
        <f t="shared" si="9"/>
        <v>0</v>
      </c>
      <c r="AY61" s="32" t="str">
        <f t="shared" si="10"/>
        <v>Toepasbaar</v>
      </c>
    </row>
    <row r="62" spans="1:51" ht="12" x14ac:dyDescent="0.15">
      <c r="A62" s="65" t="s">
        <v>37</v>
      </c>
      <c r="B62" s="15" t="s">
        <v>65</v>
      </c>
      <c r="C62" s="74" t="s">
        <v>154</v>
      </c>
      <c r="D62" s="90">
        <v>0.1</v>
      </c>
      <c r="E62" s="74" t="str">
        <f t="shared" si="1"/>
        <v>&lt;</v>
      </c>
      <c r="F62" s="74">
        <f t="shared" si="2"/>
        <v>0.1</v>
      </c>
      <c r="G62" s="13"/>
      <c r="H62" s="56">
        <f t="shared" si="11"/>
        <v>6.9999999999999993E-2</v>
      </c>
      <c r="I62" s="56">
        <f t="shared" si="12"/>
        <v>6.9999999999999993E-2</v>
      </c>
      <c r="J62" s="57">
        <f t="shared" si="0"/>
        <v>6.9999999999999993E-2</v>
      </c>
      <c r="L62" s="58">
        <f t="shared" si="3"/>
        <v>1</v>
      </c>
      <c r="AC62" s="33">
        <f t="shared" si="4"/>
        <v>0</v>
      </c>
      <c r="AD62" s="14">
        <f t="shared" si="5"/>
        <v>6.9999999999999993E-2</v>
      </c>
      <c r="AE62" s="14">
        <f t="shared" si="6"/>
        <v>6.9999999999999993E-2</v>
      </c>
      <c r="AK62" s="32"/>
      <c r="AL62" s="33"/>
      <c r="AM62" s="32"/>
      <c r="AN62" s="33">
        <f t="shared" si="15"/>
        <v>0</v>
      </c>
      <c r="AO62" s="32"/>
      <c r="AP62" s="33"/>
      <c r="AQ62" s="32" t="str">
        <f t="shared" si="19"/>
        <v>Aw</v>
      </c>
      <c r="AR62" s="33">
        <f t="shared" si="13"/>
        <v>1</v>
      </c>
      <c r="AS62" s="33">
        <f t="shared" si="14"/>
        <v>1</v>
      </c>
      <c r="AT62" s="32" t="str">
        <f t="shared" si="20"/>
        <v>Toepasbaar</v>
      </c>
      <c r="AU62" s="33">
        <f>IF(AT62="Niet Toepasbaar",1,0)</f>
        <v>0</v>
      </c>
      <c r="AV62" s="32" t="str">
        <f t="shared" si="21"/>
        <v>Toepasbaar</v>
      </c>
      <c r="AX62" s="33">
        <f t="shared" si="9"/>
        <v>0</v>
      </c>
      <c r="AY62" s="32" t="str">
        <f t="shared" si="10"/>
        <v>Toepasbaar</v>
      </c>
    </row>
    <row r="63" spans="1:51" ht="12" x14ac:dyDescent="0.15">
      <c r="A63" s="65" t="s">
        <v>35</v>
      </c>
      <c r="B63" s="15" t="s">
        <v>63</v>
      </c>
      <c r="C63" s="74" t="s">
        <v>154</v>
      </c>
      <c r="D63" s="90">
        <v>0.1</v>
      </c>
      <c r="E63" s="74" t="str">
        <f t="shared" si="1"/>
        <v>&lt;</v>
      </c>
      <c r="F63" s="74">
        <f t="shared" si="2"/>
        <v>0.1</v>
      </c>
      <c r="G63" s="13"/>
      <c r="H63" s="56">
        <f t="shared" si="11"/>
        <v>6.9999999999999993E-2</v>
      </c>
      <c r="I63" s="56">
        <f t="shared" si="12"/>
        <v>6.9999999999999993E-2</v>
      </c>
      <c r="J63" s="57">
        <f t="shared" si="0"/>
        <v>6.9999999999999993E-2</v>
      </c>
      <c r="L63" s="58">
        <f t="shared" si="3"/>
        <v>1</v>
      </c>
      <c r="AC63" s="33">
        <f t="shared" si="4"/>
        <v>0</v>
      </c>
      <c r="AD63" s="14">
        <f t="shared" si="5"/>
        <v>6.9999999999999993E-2</v>
      </c>
      <c r="AE63" s="14">
        <f t="shared" si="6"/>
        <v>6.9999999999999993E-2</v>
      </c>
      <c r="AK63" s="32"/>
      <c r="AL63" s="33"/>
      <c r="AM63" s="32"/>
      <c r="AN63" s="33">
        <f t="shared" si="15"/>
        <v>0</v>
      </c>
      <c r="AO63" s="32"/>
      <c r="AP63" s="33"/>
      <c r="AQ63" s="32" t="str">
        <f t="shared" si="19"/>
        <v>Aw</v>
      </c>
      <c r="AR63" s="33">
        <f t="shared" si="13"/>
        <v>1</v>
      </c>
      <c r="AS63" s="33">
        <f t="shared" si="14"/>
        <v>1</v>
      </c>
      <c r="AT63" s="32" t="str">
        <f t="shared" si="20"/>
        <v>Toepasbaar</v>
      </c>
      <c r="AU63" s="33">
        <f t="shared" si="16"/>
        <v>0</v>
      </c>
      <c r="AV63" s="32" t="str">
        <f t="shared" si="21"/>
        <v>Toepasbaar</v>
      </c>
      <c r="AX63" s="33">
        <f t="shared" si="9"/>
        <v>0</v>
      </c>
      <c r="AY63" s="32" t="str">
        <f t="shared" si="10"/>
        <v>Toepasbaar</v>
      </c>
    </row>
    <row r="64" spans="1:51" ht="12" x14ac:dyDescent="0.15">
      <c r="A64" s="65" t="s">
        <v>39</v>
      </c>
      <c r="B64" s="15" t="s">
        <v>67</v>
      </c>
      <c r="C64" s="74" t="s">
        <v>154</v>
      </c>
      <c r="D64" s="90">
        <v>0.1</v>
      </c>
      <c r="E64" s="74" t="str">
        <f t="shared" si="1"/>
        <v>&lt;</v>
      </c>
      <c r="F64" s="74">
        <f t="shared" si="2"/>
        <v>0.1</v>
      </c>
      <c r="G64" s="13"/>
      <c r="H64" s="56">
        <f t="shared" si="11"/>
        <v>6.9999999999999993E-2</v>
      </c>
      <c r="I64" s="56">
        <f t="shared" si="12"/>
        <v>6.9999999999999993E-2</v>
      </c>
      <c r="J64" s="57">
        <f t="shared" si="0"/>
        <v>6.9999999999999993E-2</v>
      </c>
      <c r="L64" s="58">
        <f t="shared" si="3"/>
        <v>1</v>
      </c>
      <c r="AC64" s="33">
        <f t="shared" si="4"/>
        <v>0</v>
      </c>
      <c r="AD64" s="14">
        <f t="shared" si="5"/>
        <v>6.9999999999999993E-2</v>
      </c>
      <c r="AE64" s="14">
        <f t="shared" si="6"/>
        <v>6.9999999999999993E-2</v>
      </c>
      <c r="AK64" s="32"/>
      <c r="AL64" s="33"/>
      <c r="AM64" s="32"/>
      <c r="AN64" s="33">
        <f t="shared" si="15"/>
        <v>0</v>
      </c>
      <c r="AO64" s="32"/>
      <c r="AP64" s="33"/>
      <c r="AQ64" s="32" t="str">
        <f t="shared" si="19"/>
        <v>Aw</v>
      </c>
      <c r="AR64" s="33">
        <f t="shared" si="13"/>
        <v>1</v>
      </c>
      <c r="AS64" s="33">
        <f t="shared" si="14"/>
        <v>1</v>
      </c>
      <c r="AT64" s="32" t="str">
        <f t="shared" si="20"/>
        <v>Toepasbaar</v>
      </c>
      <c r="AU64" s="33">
        <f>IF(AT64="Niet Toepasbaar",1,0)</f>
        <v>0</v>
      </c>
      <c r="AV64" s="32" t="str">
        <f t="shared" si="21"/>
        <v>Toepasbaar</v>
      </c>
      <c r="AX64" s="33">
        <f t="shared" si="9"/>
        <v>0</v>
      </c>
      <c r="AY64" s="32" t="str">
        <f t="shared" si="10"/>
        <v>Toepasbaar</v>
      </c>
    </row>
    <row r="65" spans="1:51" ht="12" x14ac:dyDescent="0.15">
      <c r="A65" s="65" t="s">
        <v>36</v>
      </c>
      <c r="B65" s="79" t="s">
        <v>64</v>
      </c>
      <c r="C65" s="74" t="s">
        <v>154</v>
      </c>
      <c r="D65" s="90">
        <v>0.1</v>
      </c>
      <c r="E65" s="74" t="str">
        <f t="shared" si="1"/>
        <v>&lt;</v>
      </c>
      <c r="F65" s="74">
        <f t="shared" si="2"/>
        <v>0.1</v>
      </c>
      <c r="G65" s="13"/>
      <c r="H65" s="56">
        <f t="shared" si="11"/>
        <v>6.9999999999999993E-2</v>
      </c>
      <c r="I65" s="56">
        <f t="shared" si="12"/>
        <v>6.9999999999999993E-2</v>
      </c>
      <c r="J65" s="57">
        <f t="shared" si="0"/>
        <v>6.9999999999999993E-2</v>
      </c>
      <c r="L65" s="58">
        <f t="shared" si="3"/>
        <v>1</v>
      </c>
      <c r="AC65" s="33">
        <f t="shared" si="4"/>
        <v>0</v>
      </c>
      <c r="AD65" s="14">
        <f t="shared" si="5"/>
        <v>6.9999999999999993E-2</v>
      </c>
      <c r="AE65" s="14">
        <f t="shared" si="6"/>
        <v>6.9999999999999993E-2</v>
      </c>
      <c r="AK65" s="32"/>
      <c r="AL65" s="33"/>
      <c r="AM65" s="32"/>
      <c r="AN65" s="33">
        <f t="shared" si="15"/>
        <v>0</v>
      </c>
      <c r="AO65" s="32"/>
      <c r="AP65" s="33"/>
      <c r="AQ65" s="32" t="str">
        <f t="shared" si="19"/>
        <v>Aw</v>
      </c>
      <c r="AR65" s="33">
        <f t="shared" si="13"/>
        <v>1</v>
      </c>
      <c r="AS65" s="33">
        <f t="shared" si="14"/>
        <v>1</v>
      </c>
      <c r="AT65" s="32" t="str">
        <f t="shared" si="20"/>
        <v>Toepasbaar</v>
      </c>
      <c r="AU65" s="33">
        <f>IF(AT65="Niet Toepasbaar",1,0)</f>
        <v>0</v>
      </c>
      <c r="AV65" s="32" t="str">
        <f t="shared" si="21"/>
        <v>Toepasbaar</v>
      </c>
      <c r="AX65" s="33">
        <f t="shared" si="9"/>
        <v>0</v>
      </c>
      <c r="AY65" s="32" t="str">
        <f t="shared" si="10"/>
        <v>Toepasbaar</v>
      </c>
    </row>
    <row r="66" spans="1:51" ht="12" x14ac:dyDescent="0.15">
      <c r="A66" s="66" t="s">
        <v>182</v>
      </c>
      <c r="B66" s="15" t="s">
        <v>174</v>
      </c>
      <c r="C66" s="74" t="s">
        <v>154</v>
      </c>
      <c r="D66" s="92">
        <v>0.1</v>
      </c>
      <c r="E66" s="74" t="str">
        <f t="shared" si="1"/>
        <v>&lt;</v>
      </c>
      <c r="F66" s="92">
        <f t="shared" si="2"/>
        <v>0.1</v>
      </c>
      <c r="G66" s="13"/>
      <c r="H66" s="56">
        <f t="shared" ref="H66:H67" si="22">IF($AD$31&gt;=10,AD66*(10/$AD$31),AD66)</f>
        <v>6.9999999999999993E-2</v>
      </c>
      <c r="I66" s="56">
        <f t="shared" ref="I66:I67" si="23">IF($AE$31&gt;=10,AE66*(10/$AE$31),AE66)</f>
        <v>6.9999999999999993E-2</v>
      </c>
      <c r="J66" s="57">
        <f t="shared" ref="J66:J67" si="24">AVERAGE(H66:I66)</f>
        <v>6.9999999999999993E-2</v>
      </c>
      <c r="L66" s="58">
        <f t="shared" ref="L66:L67" si="25">IF(J66&lt;=0,0,(MAX(H66,I66)/MIN(H66,I66)))</f>
        <v>1</v>
      </c>
      <c r="AC66" s="33">
        <f t="shared" si="4"/>
        <v>0</v>
      </c>
      <c r="AD66" s="14">
        <f t="shared" ref="AD66:AD67" si="26">IF(C66="&lt;",0.7*D66,D66)</f>
        <v>6.9999999999999993E-2</v>
      </c>
      <c r="AE66" s="14">
        <f t="shared" ref="AE66:AE67" si="27">IF(E66="&lt;",0.7*F66,F66)</f>
        <v>6.9999999999999993E-2</v>
      </c>
      <c r="AL66" s="33">
        <f>IF(AM66="W of I",1000,IF(AM66="NT",100000,0))</f>
        <v>0</v>
      </c>
      <c r="AM66" s="32" t="str">
        <f>IF(J66&lt;=$W$8,"L/N",IF(J66&lt;=$W$9,"W of I",IF(J66&gt;$W$10,"NT")))</f>
        <v>L/N</v>
      </c>
      <c r="AN66" s="33"/>
      <c r="AO66" s="32"/>
      <c r="AP66" s="33"/>
      <c r="AQ66" s="32"/>
      <c r="AR66" s="33">
        <f t="shared" ref="AR66:AR67" si="28">IF(AQ66="L/N",38,IF(AQ66="Aw",1,IF(AQ66="W of I",1500,IF(AQ66="NT",100000,0))))</f>
        <v>0</v>
      </c>
      <c r="AS66" s="33">
        <f t="shared" ref="AS66:AS67" si="29">IF(AQ66="L/N",38,IF(AQ66="Aw",1,IF(AQ66="W of I",1500,IF(AQ66="NT",100000,0))))</f>
        <v>0</v>
      </c>
      <c r="AT66" s="32" t="str">
        <f t="shared" si="20"/>
        <v>Toepasbaar</v>
      </c>
      <c r="AU66" s="33">
        <f>IF(AT66="Niet Toepasbaar",1,0)</f>
        <v>0</v>
      </c>
      <c r="AV66" s="32" t="str">
        <f t="shared" si="21"/>
        <v>Toepasbaar</v>
      </c>
      <c r="AX66" s="33">
        <f t="shared" si="9"/>
        <v>0</v>
      </c>
      <c r="AY66" s="32" t="str">
        <f t="shared" si="10"/>
        <v>Toepasbaar</v>
      </c>
    </row>
    <row r="67" spans="1:51" ht="12" x14ac:dyDescent="0.15">
      <c r="A67" s="66" t="s">
        <v>183</v>
      </c>
      <c r="B67" s="15" t="s">
        <v>40</v>
      </c>
      <c r="C67" s="74" t="s">
        <v>154</v>
      </c>
      <c r="D67" s="92">
        <v>0.1</v>
      </c>
      <c r="E67" s="74" t="str">
        <f t="shared" si="1"/>
        <v>&lt;</v>
      </c>
      <c r="F67" s="92">
        <f t="shared" si="2"/>
        <v>0.1</v>
      </c>
      <c r="G67" s="13"/>
      <c r="H67" s="56">
        <f t="shared" si="22"/>
        <v>6.9999999999999993E-2</v>
      </c>
      <c r="I67" s="56">
        <f t="shared" si="23"/>
        <v>6.9999999999999993E-2</v>
      </c>
      <c r="J67" s="57">
        <f t="shared" si="24"/>
        <v>6.9999999999999993E-2</v>
      </c>
      <c r="L67" s="58">
        <f t="shared" si="25"/>
        <v>1</v>
      </c>
      <c r="AC67" s="33">
        <f t="shared" si="4"/>
        <v>0</v>
      </c>
      <c r="AD67" s="14">
        <f t="shared" si="26"/>
        <v>6.9999999999999993E-2</v>
      </c>
      <c r="AE67" s="14">
        <f t="shared" si="27"/>
        <v>6.9999999999999993E-2</v>
      </c>
      <c r="AK67" s="32" t="str">
        <f>IF(J67&lt;=$T$8,"L/N",IF(J67&lt;=$T$9,"W of I",IF(J67&gt;$T$10,"NT")))</f>
        <v>L/N</v>
      </c>
      <c r="AL67" s="33">
        <f t="shared" ref="AL67" si="30">IF(AK67="W of I",1000,IF(AK67="NT",100000,0))</f>
        <v>0</v>
      </c>
      <c r="AM67" s="32"/>
      <c r="AN67" s="33"/>
      <c r="AO67" s="32"/>
      <c r="AP67" s="33"/>
      <c r="AQ67" s="32"/>
      <c r="AR67" s="33">
        <f t="shared" si="28"/>
        <v>0</v>
      </c>
      <c r="AS67" s="33">
        <f t="shared" si="29"/>
        <v>0</v>
      </c>
      <c r="AT67" s="32" t="str">
        <f>IF(J67&gt;$C$104,"Niet Toepasbaar","Toepasbaar")</f>
        <v>Toepasbaar</v>
      </c>
      <c r="AU67" s="33">
        <f>IF(AT67="Niet Toepasbaar",1,0)</f>
        <v>0</v>
      </c>
      <c r="AV67" s="32" t="str">
        <f>IF(J67&gt;$C$105,"Niet Toepasbaar","Toepasbaar")</f>
        <v>Toepasbaar</v>
      </c>
      <c r="AX67" s="33">
        <f t="shared" si="9"/>
        <v>0</v>
      </c>
      <c r="AY67" s="32" t="str">
        <f t="shared" si="10"/>
        <v>Toepasbaar</v>
      </c>
    </row>
    <row r="68" spans="1:51" ht="12" x14ac:dyDescent="0.15">
      <c r="A68" s="65" t="str">
        <f>IF(C13=38,"7H-Perfluorheptaanzuur (HPFHpa)","")</f>
        <v/>
      </c>
      <c r="B68" s="15" t="s">
        <v>168</v>
      </c>
      <c r="C68" s="74" t="str">
        <f>IF($C$13=38,"&lt;","")</f>
        <v/>
      </c>
      <c r="D68" s="74">
        <f t="shared" ref="D68:D77" si="31">IF($C$13=38,0.1,0)</f>
        <v>0</v>
      </c>
      <c r="E68" s="74" t="str">
        <f t="shared" si="1"/>
        <v/>
      </c>
      <c r="F68" s="74">
        <f t="shared" si="2"/>
        <v>0</v>
      </c>
      <c r="G68" s="13"/>
      <c r="H68" s="56">
        <f t="shared" ref="H68:H77" si="32">IF($AD$31&gt;=10,AD68*(10/$AD$31),AD68)</f>
        <v>0</v>
      </c>
      <c r="I68" s="56">
        <f t="shared" ref="I68:I77" si="33">IF($AE$31&gt;=10,AE68*(10/$AE$31),AE68)</f>
        <v>0</v>
      </c>
      <c r="J68" s="57">
        <f t="shared" ref="J68:J77" si="34">AVERAGE(H68:I68)</f>
        <v>0</v>
      </c>
      <c r="L68" s="58">
        <f t="shared" ref="L68:L77" si="35">IF(J68&lt;=0,0,(MAX(H68,I68)/MIN(H68,I68)))</f>
        <v>0</v>
      </c>
      <c r="AC68" s="33">
        <f t="shared" si="4"/>
        <v>0</v>
      </c>
      <c r="AD68" s="14">
        <f t="shared" ref="AD68:AD77" si="36">IF(C68="&lt;",0.7*D68,D68)</f>
        <v>0</v>
      </c>
      <c r="AE68" s="14">
        <f t="shared" ref="AE68:AE77" si="37">IF(E68="&lt;",0.7*F68,F68)</f>
        <v>0</v>
      </c>
      <c r="AK68" s="32"/>
      <c r="AL68" s="33"/>
      <c r="AM68" s="32"/>
      <c r="AN68" s="33">
        <f t="shared" ref="AN68:AN77" si="38">IF(AM68="W of I",1000,IF(AM68="NT",100000,0))</f>
        <v>0</v>
      </c>
      <c r="AO68" s="32"/>
      <c r="AP68" s="33"/>
      <c r="AQ68" s="32" t="str">
        <f t="shared" ref="AQ68:AQ77" si="39">IF(J68&lt;=$Y$11,"Aw",IF(J68&lt;=$Y$8,"L/N",IF(J68&lt;=$Y$9,"W of I",IF(J68&gt;$Y$10,"NT"))))</f>
        <v>Aw</v>
      </c>
      <c r="AR68" s="33">
        <f t="shared" si="13"/>
        <v>1</v>
      </c>
      <c r="AS68" s="33">
        <f t="shared" si="14"/>
        <v>1</v>
      </c>
      <c r="AT68" s="32" t="str">
        <f t="shared" ref="AT68:AT77" si="40">IF(J68&gt;$F$104,"Niet Toepasbaar","Toepasbaar")</f>
        <v>Toepasbaar</v>
      </c>
      <c r="AU68" s="33">
        <f t="shared" ref="AU68:AU77" si="41">IF(AT68="Niet Toepasbaar",1,0)</f>
        <v>0</v>
      </c>
      <c r="AV68" s="32" t="str">
        <f t="shared" ref="AV68:AV77" si="42">IF(J68&gt;$F$105,"Niet Toepasbaar","Toepasbaar")</f>
        <v>Toepasbaar</v>
      </c>
      <c r="AX68" s="33">
        <f t="shared" si="9"/>
        <v>0</v>
      </c>
      <c r="AY68" s="32" t="str">
        <f t="shared" si="10"/>
        <v>Toepasbaar</v>
      </c>
    </row>
    <row r="69" spans="1:51" ht="12" x14ac:dyDescent="0.15">
      <c r="A69" s="65" t="str">
        <f>IF(C13=38,"2H,2H,3H,3H-perfluorundecaanzuur","")</f>
        <v/>
      </c>
      <c r="B69" s="15"/>
      <c r="C69" s="74" t="str">
        <f t="shared" ref="C69:C77" si="43">IF($C$13=38,"&lt;","")</f>
        <v/>
      </c>
      <c r="D69" s="74">
        <f t="shared" si="31"/>
        <v>0</v>
      </c>
      <c r="E69" s="74" t="str">
        <f t="shared" si="1"/>
        <v/>
      </c>
      <c r="F69" s="74">
        <f t="shared" si="2"/>
        <v>0</v>
      </c>
      <c r="G69" s="13"/>
      <c r="H69" s="56">
        <f t="shared" si="32"/>
        <v>0</v>
      </c>
      <c r="I69" s="56">
        <f t="shared" si="33"/>
        <v>0</v>
      </c>
      <c r="J69" s="57">
        <f t="shared" si="34"/>
        <v>0</v>
      </c>
      <c r="L69" s="58">
        <f t="shared" si="35"/>
        <v>0</v>
      </c>
      <c r="AC69" s="33">
        <f t="shared" si="4"/>
        <v>0</v>
      </c>
      <c r="AD69" s="14">
        <f t="shared" si="36"/>
        <v>0</v>
      </c>
      <c r="AE69" s="14">
        <f t="shared" si="37"/>
        <v>0</v>
      </c>
      <c r="AK69" s="32"/>
      <c r="AL69" s="33"/>
      <c r="AM69" s="32"/>
      <c r="AN69" s="33">
        <f t="shared" si="38"/>
        <v>0</v>
      </c>
      <c r="AO69" s="32"/>
      <c r="AP69" s="33"/>
      <c r="AQ69" s="32" t="str">
        <f t="shared" si="39"/>
        <v>Aw</v>
      </c>
      <c r="AR69" s="33">
        <f t="shared" si="13"/>
        <v>1</v>
      </c>
      <c r="AS69" s="33">
        <f t="shared" si="14"/>
        <v>1</v>
      </c>
      <c r="AT69" s="32" t="str">
        <f t="shared" si="40"/>
        <v>Toepasbaar</v>
      </c>
      <c r="AU69" s="33">
        <f t="shared" si="41"/>
        <v>0</v>
      </c>
      <c r="AV69" s="32" t="str">
        <f t="shared" si="42"/>
        <v>Toepasbaar</v>
      </c>
      <c r="AX69" s="33">
        <f t="shared" si="9"/>
        <v>0</v>
      </c>
      <c r="AY69" s="32" t="str">
        <f t="shared" si="10"/>
        <v>Toepasbaar</v>
      </c>
    </row>
    <row r="70" spans="1:51" ht="12" x14ac:dyDescent="0.15">
      <c r="A70" s="65" t="str">
        <f>IF(C13=38,"8:2 Fluortelomeer onverzadigd carbonzuur","")</f>
        <v/>
      </c>
      <c r="B70" s="15"/>
      <c r="C70" s="74" t="str">
        <f t="shared" si="43"/>
        <v/>
      </c>
      <c r="D70" s="74">
        <f t="shared" si="31"/>
        <v>0</v>
      </c>
      <c r="E70" s="74" t="str">
        <f t="shared" si="1"/>
        <v/>
      </c>
      <c r="F70" s="74">
        <f t="shared" si="2"/>
        <v>0</v>
      </c>
      <c r="G70" s="13"/>
      <c r="H70" s="56">
        <f t="shared" si="32"/>
        <v>0</v>
      </c>
      <c r="I70" s="56">
        <f t="shared" si="33"/>
        <v>0</v>
      </c>
      <c r="J70" s="57">
        <f t="shared" si="34"/>
        <v>0</v>
      </c>
      <c r="L70" s="58">
        <f t="shared" si="35"/>
        <v>0</v>
      </c>
      <c r="AC70" s="33">
        <f t="shared" si="4"/>
        <v>0</v>
      </c>
      <c r="AD70" s="14">
        <f t="shared" si="36"/>
        <v>0</v>
      </c>
      <c r="AE70" s="14">
        <f t="shared" si="37"/>
        <v>0</v>
      </c>
      <c r="AK70" s="32"/>
      <c r="AL70" s="33"/>
      <c r="AM70" s="32"/>
      <c r="AN70" s="33">
        <f t="shared" si="38"/>
        <v>0</v>
      </c>
      <c r="AO70" s="32"/>
      <c r="AP70" s="33"/>
      <c r="AQ70" s="32" t="str">
        <f t="shared" si="39"/>
        <v>Aw</v>
      </c>
      <c r="AR70" s="33">
        <f t="shared" si="13"/>
        <v>1</v>
      </c>
      <c r="AS70" s="33">
        <f t="shared" si="14"/>
        <v>1</v>
      </c>
      <c r="AT70" s="32" t="str">
        <f t="shared" si="40"/>
        <v>Toepasbaar</v>
      </c>
      <c r="AU70" s="33">
        <f t="shared" si="41"/>
        <v>0</v>
      </c>
      <c r="AV70" s="32" t="str">
        <f t="shared" si="42"/>
        <v>Toepasbaar</v>
      </c>
      <c r="AX70" s="33">
        <f t="shared" si="9"/>
        <v>0</v>
      </c>
      <c r="AY70" s="32" t="str">
        <f t="shared" si="10"/>
        <v>Toepasbaar</v>
      </c>
    </row>
    <row r="71" spans="1:51" ht="12" x14ac:dyDescent="0.15">
      <c r="A71" s="65" t="str">
        <f>IF(C13=38,"F53B (9Cl-PF3ONS)","")</f>
        <v/>
      </c>
      <c r="B71" s="15" t="s">
        <v>169</v>
      </c>
      <c r="C71" s="74" t="str">
        <f t="shared" si="43"/>
        <v/>
      </c>
      <c r="D71" s="74">
        <f t="shared" si="31"/>
        <v>0</v>
      </c>
      <c r="E71" s="74" t="str">
        <f t="shared" si="1"/>
        <v/>
      </c>
      <c r="F71" s="74">
        <f t="shared" si="2"/>
        <v>0</v>
      </c>
      <c r="G71" s="13"/>
      <c r="H71" s="56">
        <f t="shared" si="32"/>
        <v>0</v>
      </c>
      <c r="I71" s="56">
        <f t="shared" si="33"/>
        <v>0</v>
      </c>
      <c r="J71" s="57">
        <f t="shared" si="34"/>
        <v>0</v>
      </c>
      <c r="L71" s="58">
        <f t="shared" si="35"/>
        <v>0</v>
      </c>
      <c r="AC71" s="33">
        <f t="shared" si="4"/>
        <v>0</v>
      </c>
      <c r="AD71" s="14">
        <f t="shared" si="36"/>
        <v>0</v>
      </c>
      <c r="AE71" s="14">
        <f t="shared" si="37"/>
        <v>0</v>
      </c>
      <c r="AK71" s="32"/>
      <c r="AL71" s="33"/>
      <c r="AM71" s="32"/>
      <c r="AN71" s="33">
        <f t="shared" si="38"/>
        <v>0</v>
      </c>
      <c r="AO71" s="32"/>
      <c r="AP71" s="33"/>
      <c r="AQ71" s="32" t="str">
        <f t="shared" si="39"/>
        <v>Aw</v>
      </c>
      <c r="AR71" s="33">
        <f t="shared" si="13"/>
        <v>1</v>
      </c>
      <c r="AS71" s="33">
        <f t="shared" si="14"/>
        <v>1</v>
      </c>
      <c r="AT71" s="32" t="str">
        <f t="shared" si="40"/>
        <v>Toepasbaar</v>
      </c>
      <c r="AU71" s="33">
        <f t="shared" si="41"/>
        <v>0</v>
      </c>
      <c r="AV71" s="32" t="str">
        <f t="shared" si="42"/>
        <v>Toepasbaar</v>
      </c>
      <c r="AX71" s="33">
        <f t="shared" si="9"/>
        <v>0</v>
      </c>
      <c r="AY71" s="32" t="str">
        <f t="shared" si="10"/>
        <v>Toepasbaar</v>
      </c>
    </row>
    <row r="72" spans="1:51" ht="12" x14ac:dyDescent="0.15">
      <c r="A72" s="65" t="str">
        <f>IF(C13=38,"ADONA","")</f>
        <v/>
      </c>
      <c r="B72" s="15"/>
      <c r="C72" s="74" t="str">
        <f t="shared" si="43"/>
        <v/>
      </c>
      <c r="D72" s="74">
        <f t="shared" si="31"/>
        <v>0</v>
      </c>
      <c r="E72" s="74" t="str">
        <f t="shared" si="1"/>
        <v/>
      </c>
      <c r="F72" s="74">
        <f t="shared" si="2"/>
        <v>0</v>
      </c>
      <c r="G72" s="13"/>
      <c r="H72" s="56">
        <f t="shared" si="32"/>
        <v>0</v>
      </c>
      <c r="I72" s="56">
        <f t="shared" si="33"/>
        <v>0</v>
      </c>
      <c r="J72" s="57">
        <f t="shared" si="34"/>
        <v>0</v>
      </c>
      <c r="L72" s="58">
        <f t="shared" si="35"/>
        <v>0</v>
      </c>
      <c r="AC72" s="33">
        <f t="shared" si="4"/>
        <v>0</v>
      </c>
      <c r="AD72" s="14">
        <f t="shared" si="36"/>
        <v>0</v>
      </c>
      <c r="AE72" s="14">
        <f t="shared" si="37"/>
        <v>0</v>
      </c>
      <c r="AK72" s="32"/>
      <c r="AL72" s="33"/>
      <c r="AM72" s="32"/>
      <c r="AN72" s="33">
        <f t="shared" si="38"/>
        <v>0</v>
      </c>
      <c r="AO72" s="32"/>
      <c r="AP72" s="33"/>
      <c r="AQ72" s="32" t="str">
        <f t="shared" si="39"/>
        <v>Aw</v>
      </c>
      <c r="AR72" s="33">
        <f t="shared" si="13"/>
        <v>1</v>
      </c>
      <c r="AS72" s="33">
        <f t="shared" si="14"/>
        <v>1</v>
      </c>
      <c r="AT72" s="32" t="str">
        <f t="shared" si="40"/>
        <v>Toepasbaar</v>
      </c>
      <c r="AU72" s="33">
        <f t="shared" si="41"/>
        <v>0</v>
      </c>
      <c r="AV72" s="32" t="str">
        <f t="shared" si="42"/>
        <v>Toepasbaar</v>
      </c>
      <c r="AX72" s="33">
        <f t="shared" si="9"/>
        <v>0</v>
      </c>
      <c r="AY72" s="32" t="str">
        <f t="shared" si="10"/>
        <v>Toepasbaar</v>
      </c>
    </row>
    <row r="73" spans="1:51" ht="12" x14ac:dyDescent="0.15">
      <c r="A73" s="65" t="str">
        <f>IF(C13=38,"N-Ethyl perfluoroctaansulfonamide (EtFOSA)","")</f>
        <v/>
      </c>
      <c r="B73" s="15" t="s">
        <v>170</v>
      </c>
      <c r="C73" s="74" t="str">
        <f t="shared" si="43"/>
        <v/>
      </c>
      <c r="D73" s="74">
        <f t="shared" si="31"/>
        <v>0</v>
      </c>
      <c r="E73" s="74" t="str">
        <f t="shared" si="1"/>
        <v/>
      </c>
      <c r="F73" s="74">
        <f t="shared" si="2"/>
        <v>0</v>
      </c>
      <c r="G73" s="13"/>
      <c r="H73" s="56">
        <f t="shared" si="32"/>
        <v>0</v>
      </c>
      <c r="I73" s="56">
        <f t="shared" si="33"/>
        <v>0</v>
      </c>
      <c r="J73" s="57">
        <f t="shared" si="34"/>
        <v>0</v>
      </c>
      <c r="L73" s="58">
        <f t="shared" si="35"/>
        <v>0</v>
      </c>
      <c r="AC73" s="33">
        <f t="shared" si="4"/>
        <v>0</v>
      </c>
      <c r="AD73" s="14">
        <f t="shared" si="36"/>
        <v>0</v>
      </c>
      <c r="AE73" s="14">
        <f t="shared" si="37"/>
        <v>0</v>
      </c>
      <c r="AK73" s="32"/>
      <c r="AL73" s="33"/>
      <c r="AM73" s="32"/>
      <c r="AN73" s="33">
        <f t="shared" si="38"/>
        <v>0</v>
      </c>
      <c r="AO73" s="32"/>
      <c r="AP73" s="33"/>
      <c r="AQ73" s="32" t="str">
        <f t="shared" si="39"/>
        <v>Aw</v>
      </c>
      <c r="AR73" s="33">
        <f t="shared" si="13"/>
        <v>1</v>
      </c>
      <c r="AS73" s="33">
        <f t="shared" si="14"/>
        <v>1</v>
      </c>
      <c r="AT73" s="32" t="str">
        <f t="shared" si="40"/>
        <v>Toepasbaar</v>
      </c>
      <c r="AU73" s="33">
        <f t="shared" si="41"/>
        <v>0</v>
      </c>
      <c r="AV73" s="32" t="str">
        <f t="shared" si="42"/>
        <v>Toepasbaar</v>
      </c>
      <c r="AX73" s="33">
        <f t="shared" si="9"/>
        <v>0</v>
      </c>
      <c r="AY73" s="32" t="str">
        <f t="shared" si="10"/>
        <v>Toepasbaar</v>
      </c>
    </row>
    <row r="74" spans="1:51" ht="12" x14ac:dyDescent="0.15">
      <c r="A74" s="65" t="str">
        <f>IF(C13=38,"N-methylperfluorbutaansulfonylamide (MeFBSA)","")</f>
        <v/>
      </c>
      <c r="B74" s="15" t="s">
        <v>171</v>
      </c>
      <c r="C74" s="74" t="str">
        <f t="shared" si="43"/>
        <v/>
      </c>
      <c r="D74" s="74">
        <f t="shared" si="31"/>
        <v>0</v>
      </c>
      <c r="E74" s="74" t="str">
        <f t="shared" si="1"/>
        <v/>
      </c>
      <c r="F74" s="74">
        <f t="shared" si="2"/>
        <v>0</v>
      </c>
      <c r="G74" s="13"/>
      <c r="H74" s="56">
        <f t="shared" si="32"/>
        <v>0</v>
      </c>
      <c r="I74" s="56">
        <f t="shared" si="33"/>
        <v>0</v>
      </c>
      <c r="J74" s="57">
        <f t="shared" si="34"/>
        <v>0</v>
      </c>
      <c r="L74" s="58">
        <f t="shared" si="35"/>
        <v>0</v>
      </c>
      <c r="AC74" s="33">
        <f t="shared" si="4"/>
        <v>0</v>
      </c>
      <c r="AD74" s="14">
        <f t="shared" si="36"/>
        <v>0</v>
      </c>
      <c r="AE74" s="14">
        <f t="shared" si="37"/>
        <v>0</v>
      </c>
      <c r="AK74" s="32"/>
      <c r="AL74" s="33"/>
      <c r="AM74" s="32"/>
      <c r="AN74" s="33">
        <f t="shared" si="38"/>
        <v>0</v>
      </c>
      <c r="AO74" s="32"/>
      <c r="AP74" s="33"/>
      <c r="AQ74" s="32" t="str">
        <f t="shared" si="39"/>
        <v>Aw</v>
      </c>
      <c r="AR74" s="33">
        <f t="shared" si="13"/>
        <v>1</v>
      </c>
      <c r="AS74" s="33">
        <f t="shared" si="14"/>
        <v>1</v>
      </c>
      <c r="AT74" s="32" t="str">
        <f t="shared" si="40"/>
        <v>Toepasbaar</v>
      </c>
      <c r="AU74" s="33">
        <f t="shared" si="41"/>
        <v>0</v>
      </c>
      <c r="AV74" s="32" t="str">
        <f t="shared" si="42"/>
        <v>Toepasbaar</v>
      </c>
      <c r="AX74" s="33">
        <f t="shared" si="9"/>
        <v>0</v>
      </c>
      <c r="AY74" s="32" t="str">
        <f t="shared" si="10"/>
        <v>Toepasbaar</v>
      </c>
    </row>
    <row r="75" spans="1:51" ht="12" x14ac:dyDescent="0.15">
      <c r="A75" s="65" t="str">
        <f>IF(C13=38,"Perfluor-3,7-dimethyloctaanzuur","")</f>
        <v/>
      </c>
      <c r="B75" s="15"/>
      <c r="C75" s="74" t="str">
        <f t="shared" si="43"/>
        <v/>
      </c>
      <c r="D75" s="74">
        <f t="shared" si="31"/>
        <v>0</v>
      </c>
      <c r="E75" s="74" t="str">
        <f t="shared" si="1"/>
        <v/>
      </c>
      <c r="F75" s="74">
        <f t="shared" si="2"/>
        <v>0</v>
      </c>
      <c r="G75" s="13"/>
      <c r="H75" s="56">
        <f t="shared" si="32"/>
        <v>0</v>
      </c>
      <c r="I75" s="56">
        <f t="shared" si="33"/>
        <v>0</v>
      </c>
      <c r="J75" s="57">
        <f t="shared" si="34"/>
        <v>0</v>
      </c>
      <c r="L75" s="58">
        <f t="shared" si="35"/>
        <v>0</v>
      </c>
      <c r="AC75" s="33">
        <f t="shared" si="4"/>
        <v>0</v>
      </c>
      <c r="AD75" s="14">
        <f t="shared" si="36"/>
        <v>0</v>
      </c>
      <c r="AE75" s="14">
        <f t="shared" si="37"/>
        <v>0</v>
      </c>
      <c r="AK75" s="32"/>
      <c r="AL75" s="33"/>
      <c r="AM75" s="32"/>
      <c r="AN75" s="33">
        <f t="shared" si="38"/>
        <v>0</v>
      </c>
      <c r="AO75" s="32"/>
      <c r="AP75" s="33"/>
      <c r="AQ75" s="32" t="str">
        <f t="shared" si="39"/>
        <v>Aw</v>
      </c>
      <c r="AR75" s="33">
        <f t="shared" si="13"/>
        <v>1</v>
      </c>
      <c r="AS75" s="33">
        <f t="shared" si="14"/>
        <v>1</v>
      </c>
      <c r="AT75" s="32" t="str">
        <f t="shared" si="40"/>
        <v>Toepasbaar</v>
      </c>
      <c r="AU75" s="33">
        <f t="shared" si="41"/>
        <v>0</v>
      </c>
      <c r="AV75" s="32" t="str">
        <f t="shared" si="42"/>
        <v>Toepasbaar</v>
      </c>
      <c r="AX75" s="33">
        <f t="shared" si="9"/>
        <v>0</v>
      </c>
      <c r="AY75" s="32" t="str">
        <f t="shared" si="10"/>
        <v>Toepasbaar</v>
      </c>
    </row>
    <row r="76" spans="1:51" ht="12" x14ac:dyDescent="0.15">
      <c r="A76" s="65" t="str">
        <f>IF(C13=38,"Perfluorbutaan sulfonamide (PFBSA)","")</f>
        <v/>
      </c>
      <c r="B76" s="15" t="s">
        <v>172</v>
      </c>
      <c r="C76" s="74" t="str">
        <f t="shared" si="43"/>
        <v/>
      </c>
      <c r="D76" s="74">
        <f t="shared" si="31"/>
        <v>0</v>
      </c>
      <c r="E76" s="74" t="str">
        <f t="shared" si="1"/>
        <v/>
      </c>
      <c r="F76" s="74">
        <f t="shared" si="2"/>
        <v>0</v>
      </c>
      <c r="G76" s="13"/>
      <c r="H76" s="56">
        <f t="shared" si="32"/>
        <v>0</v>
      </c>
      <c r="I76" s="56">
        <f t="shared" si="33"/>
        <v>0</v>
      </c>
      <c r="J76" s="57">
        <f t="shared" si="34"/>
        <v>0</v>
      </c>
      <c r="L76" s="58">
        <f t="shared" si="35"/>
        <v>0</v>
      </c>
      <c r="AC76" s="33">
        <f t="shared" si="4"/>
        <v>0</v>
      </c>
      <c r="AD76" s="14">
        <f t="shared" si="36"/>
        <v>0</v>
      </c>
      <c r="AE76" s="14">
        <f t="shared" si="37"/>
        <v>0</v>
      </c>
      <c r="AK76" s="32"/>
      <c r="AL76" s="33"/>
      <c r="AM76" s="32"/>
      <c r="AN76" s="33">
        <f t="shared" si="38"/>
        <v>0</v>
      </c>
      <c r="AO76" s="32"/>
      <c r="AP76" s="33"/>
      <c r="AQ76" s="32" t="str">
        <f t="shared" si="39"/>
        <v>Aw</v>
      </c>
      <c r="AR76" s="33">
        <f t="shared" si="13"/>
        <v>1</v>
      </c>
      <c r="AS76" s="33">
        <f t="shared" si="14"/>
        <v>1</v>
      </c>
      <c r="AT76" s="32" t="str">
        <f t="shared" si="40"/>
        <v>Toepasbaar</v>
      </c>
      <c r="AU76" s="33">
        <f t="shared" si="41"/>
        <v>0</v>
      </c>
      <c r="AV76" s="32" t="str">
        <f t="shared" si="42"/>
        <v>Toepasbaar</v>
      </c>
      <c r="AX76" s="33">
        <f t="shared" si="9"/>
        <v>0</v>
      </c>
      <c r="AY76" s="32" t="str">
        <f t="shared" si="10"/>
        <v>Toepasbaar</v>
      </c>
    </row>
    <row r="77" spans="1:51" ht="12" x14ac:dyDescent="0.15">
      <c r="A77" s="65" t="str">
        <f>IF(C13=38,"N-methylperfluorbutaansulfonylamide acetaat (MeFB)","")</f>
        <v/>
      </c>
      <c r="B77" s="15" t="s">
        <v>177</v>
      </c>
      <c r="C77" s="74" t="str">
        <f t="shared" si="43"/>
        <v/>
      </c>
      <c r="D77" s="74">
        <f t="shared" si="31"/>
        <v>0</v>
      </c>
      <c r="E77" s="74" t="str">
        <f t="shared" si="1"/>
        <v/>
      </c>
      <c r="F77" s="74">
        <f t="shared" si="2"/>
        <v>0</v>
      </c>
      <c r="G77" s="13"/>
      <c r="H77" s="56">
        <f t="shared" si="32"/>
        <v>0</v>
      </c>
      <c r="I77" s="56">
        <f t="shared" si="33"/>
        <v>0</v>
      </c>
      <c r="J77" s="57">
        <f t="shared" si="34"/>
        <v>0</v>
      </c>
      <c r="L77" s="58">
        <f t="shared" si="35"/>
        <v>0</v>
      </c>
      <c r="AC77" s="33">
        <f t="shared" si="4"/>
        <v>0</v>
      </c>
      <c r="AD77" s="14">
        <f t="shared" si="36"/>
        <v>0</v>
      </c>
      <c r="AE77" s="14">
        <f t="shared" si="37"/>
        <v>0</v>
      </c>
      <c r="AK77" s="32"/>
      <c r="AL77" s="33"/>
      <c r="AM77" s="32"/>
      <c r="AN77" s="33">
        <f t="shared" si="38"/>
        <v>0</v>
      </c>
      <c r="AO77" s="32"/>
      <c r="AP77" s="33"/>
      <c r="AQ77" s="32" t="str">
        <f t="shared" si="39"/>
        <v>Aw</v>
      </c>
      <c r="AR77" s="33">
        <f t="shared" si="13"/>
        <v>1</v>
      </c>
      <c r="AS77" s="33">
        <f t="shared" si="14"/>
        <v>1</v>
      </c>
      <c r="AT77" s="32" t="str">
        <f t="shared" si="40"/>
        <v>Toepasbaar</v>
      </c>
      <c r="AU77" s="33">
        <f t="shared" si="41"/>
        <v>0</v>
      </c>
      <c r="AV77" s="32" t="str">
        <f t="shared" si="42"/>
        <v>Toepasbaar</v>
      </c>
      <c r="AX77" s="33">
        <f t="shared" si="9"/>
        <v>0</v>
      </c>
      <c r="AY77" s="32" t="str">
        <f t="shared" si="10"/>
        <v>Toepasbaar</v>
      </c>
    </row>
    <row r="78" spans="1:51" ht="12" x14ac:dyDescent="0.15">
      <c r="A78" s="65" t="s">
        <v>72</v>
      </c>
      <c r="B78" s="15"/>
      <c r="C78" s="74"/>
      <c r="D78" s="74"/>
      <c r="E78" s="74">
        <f t="shared" si="1"/>
        <v>0</v>
      </c>
      <c r="F78" s="74">
        <f t="shared" si="2"/>
        <v>0</v>
      </c>
      <c r="G78" s="13"/>
      <c r="H78" s="56">
        <f t="shared" si="11"/>
        <v>0</v>
      </c>
      <c r="I78" s="56">
        <f t="shared" si="12"/>
        <v>0</v>
      </c>
      <c r="J78" s="57">
        <f t="shared" si="0"/>
        <v>0</v>
      </c>
      <c r="L78" s="58">
        <f t="shared" si="3"/>
        <v>0</v>
      </c>
      <c r="AC78" s="33">
        <f t="shared" si="4"/>
        <v>0</v>
      </c>
      <c r="AD78" s="13">
        <f>IF(C78="&lt;",0.7*D78,IF(D78="",0,D78))</f>
        <v>0</v>
      </c>
      <c r="AE78" s="13">
        <f>IF(E78="&lt;",0.7*F78,IF(F78="",0,F78))</f>
        <v>0</v>
      </c>
      <c r="AK78" s="32"/>
      <c r="AL78" s="33"/>
      <c r="AM78" s="32"/>
      <c r="AN78" s="33"/>
      <c r="AO78" s="32" t="str">
        <f>IF(J78=0,"-",IF(AND(J78&gt;0,J78&lt;=0.1),"L/N",IF(J78&lt;=3,"W of I",IF(J78&gt;3,"NT"))))</f>
        <v>-</v>
      </c>
      <c r="AP78" s="33"/>
      <c r="AQ78" s="32" t="str">
        <f>IF(J78=0,"-",IF(J78&lt;=$AB$11,"Aw",IF(J78&lt;=$AB$8,"L/N",IF(J78&lt;=$AB$9,"W of I",IF(J78&gt;$AB$10,"NT")))))</f>
        <v>-</v>
      </c>
      <c r="AR78" s="33">
        <f t="shared" ref="AR78" si="44">IF(AQ78="Aw",1,IF(AQ78="W of I",1000,IF(AQ78="NT",100000,0)))</f>
        <v>0</v>
      </c>
      <c r="AS78" s="33"/>
      <c r="AT78" s="32" t="str">
        <f>IF(J78=0,"-",(IF(J78&gt;$E$104,"Niet Toepasbaar","Toepasbaar")))</f>
        <v>-</v>
      </c>
      <c r="AU78" s="33">
        <f t="shared" si="16"/>
        <v>0</v>
      </c>
      <c r="AV78" s="32" t="str">
        <f>IF(J78=0,"-",(IF(J78&gt;$E$105,"Niet Toepasbaar","Toepasbaar")))</f>
        <v>-</v>
      </c>
      <c r="AX78" s="33">
        <f t="shared" si="9"/>
        <v>0</v>
      </c>
      <c r="AY78" s="32" t="str">
        <f>IF(J78=0,"-",(IF(J78&gt;$E$102,"Niet Toepasbaar","Toepasbaar")))</f>
        <v>-</v>
      </c>
    </row>
    <row r="79" spans="1:51" x14ac:dyDescent="0.15">
      <c r="A79" s="16"/>
      <c r="B79" s="15"/>
      <c r="C79" s="29"/>
      <c r="D79" s="29"/>
      <c r="E79" s="29"/>
      <c r="F79" s="29"/>
      <c r="G79" s="29"/>
      <c r="H79" s="13"/>
      <c r="I79" s="29"/>
      <c r="J79" s="29"/>
      <c r="K79" s="31"/>
      <c r="L79" s="31"/>
      <c r="M79" s="43"/>
      <c r="N79" s="32"/>
      <c r="O79" s="32"/>
      <c r="P79" s="32"/>
      <c r="Q79" s="32"/>
      <c r="R79" s="32"/>
      <c r="S79" s="33"/>
      <c r="T79" s="32"/>
      <c r="U79" s="33"/>
      <c r="V79" s="33"/>
      <c r="W79" s="32"/>
      <c r="X79" s="33"/>
      <c r="Y79" s="34"/>
      <c r="AA79" s="34"/>
      <c r="AB79" s="34"/>
      <c r="AC79" s="34"/>
    </row>
    <row r="80" spans="1:51" ht="12" customHeight="1" x14ac:dyDescent="0.15">
      <c r="A80" s="61" t="s">
        <v>146</v>
      </c>
      <c r="B80" s="62"/>
      <c r="C80" s="62"/>
      <c r="D80" s="62"/>
      <c r="O80" s="35">
        <f>SUM(AL36:AL78)</f>
        <v>0</v>
      </c>
      <c r="Q80" s="35">
        <f>SUM(AN36:AN78)</f>
        <v>0</v>
      </c>
      <c r="S80" s="35">
        <f>SUM(AP36:AP78)</f>
        <v>0</v>
      </c>
      <c r="U80" s="35">
        <f>SUM(AR36:AR78)</f>
        <v>36</v>
      </c>
      <c r="V80" s="35">
        <f>SUM(AS36:AS78)</f>
        <v>36</v>
      </c>
      <c r="X80" s="33">
        <f>SUM(AU36:AU78)</f>
        <v>0</v>
      </c>
      <c r="AA80" s="33">
        <f>SUM(AX36:AX78)</f>
        <v>0</v>
      </c>
      <c r="AC80" s="33">
        <f>SUM(AC36:AC78)</f>
        <v>0</v>
      </c>
      <c r="AK80" s="70" t="s">
        <v>162</v>
      </c>
    </row>
    <row r="81" spans="1:37" ht="12" customHeight="1" x14ac:dyDescent="0.15">
      <c r="A81" s="63" t="s">
        <v>180</v>
      </c>
      <c r="B81" s="62"/>
      <c r="C81" s="112">
        <f>J67</f>
        <v>6.9999999999999993E-2</v>
      </c>
      <c r="D81" s="62"/>
      <c r="G81" s="32"/>
      <c r="AK81" s="32" t="str">
        <f>IF(C81&lt;=T8,"L/N",IF(C81&lt;T11,"Aw",IF(C81&lt;=T9,"W of I",IF(C81&gt;T10,"NT"))))</f>
        <v>L/N</v>
      </c>
    </row>
    <row r="82" spans="1:37" ht="12" customHeight="1" x14ac:dyDescent="0.15">
      <c r="A82" s="63" t="s">
        <v>181</v>
      </c>
      <c r="B82" s="62"/>
      <c r="C82" s="112">
        <f>J66</f>
        <v>6.9999999999999993E-2</v>
      </c>
      <c r="D82" s="62"/>
      <c r="G82" s="32"/>
      <c r="AK82" s="32" t="str">
        <f>IF(C82&lt;W11,"Aw",IF(C82&lt;=W8,"L/N",IF(C82&lt;=W9,"W of I",IF(C82&gt;W10,"NT"))))</f>
        <v>Aw</v>
      </c>
    </row>
    <row r="83" spans="1:37" ht="12" hidden="1" customHeight="1" x14ac:dyDescent="0.15">
      <c r="A83" s="63" t="s">
        <v>127</v>
      </c>
      <c r="B83" s="62"/>
      <c r="C83" s="64">
        <f>J54</f>
        <v>6.9999999999999993E-2</v>
      </c>
      <c r="D83" s="62"/>
      <c r="E83" s="32" t="str">
        <f>IF(C83&lt;=T11,"Aw",IF(C83&lt;=T8,"L/N",IF(C83&lt;=T9,"W of I",IF(C83&gt;T10,"NT"))))</f>
        <v>Aw</v>
      </c>
      <c r="G83" s="32"/>
      <c r="O83" s="14">
        <f>IF(E83="Aw",1,0)</f>
        <v>1</v>
      </c>
    </row>
    <row r="84" spans="1:37" ht="12" hidden="1" customHeight="1" x14ac:dyDescent="0.15">
      <c r="A84" s="63" t="s">
        <v>126</v>
      </c>
      <c r="B84" s="62"/>
      <c r="C84" s="64">
        <f>J55</f>
        <v>6.9999999999999993E-2</v>
      </c>
      <c r="D84" s="64"/>
      <c r="E84" s="32" t="str">
        <f>IF(C84&lt;=T11,"Aw",IF(C84&lt;=T8,"L/N",IF(C84&lt;=T9,"W of I",IF(C84&gt;T10,"NT"))))</f>
        <v>Aw</v>
      </c>
      <c r="G84" s="32"/>
      <c r="O84" s="14">
        <f t="shared" ref="O84:O86" si="45">IF(E84="Aw",1,0)</f>
        <v>1</v>
      </c>
    </row>
    <row r="85" spans="1:37" ht="12.75" hidden="1" customHeight="1" x14ac:dyDescent="0.15">
      <c r="A85" s="63" t="s">
        <v>129</v>
      </c>
      <c r="B85" s="62"/>
      <c r="C85" s="64">
        <f>J40</f>
        <v>6.9999999999999993E-2</v>
      </c>
      <c r="D85" s="64"/>
      <c r="E85" s="32" t="str">
        <f>IF(C85&lt;=W11,"Aw",IF(C85&lt;=W8,"L/N",IF(C85&lt;=W9,"W of I",IF(C85&gt;W10,"NT"))))</f>
        <v>Aw</v>
      </c>
      <c r="G85" s="32"/>
      <c r="O85" s="14">
        <f t="shared" si="45"/>
        <v>1</v>
      </c>
    </row>
    <row r="86" spans="1:37" ht="12" hidden="1" customHeight="1" x14ac:dyDescent="0.15">
      <c r="A86" s="63" t="s">
        <v>128</v>
      </c>
      <c r="B86" s="62"/>
      <c r="C86" s="64">
        <f>J41</f>
        <v>6.9999999999999993E-2</v>
      </c>
      <c r="D86" s="64"/>
      <c r="E86" s="32" t="str">
        <f>IF(C86&lt;=W11,"Aw",IF(C86&lt;=W8,"L/N",IF(C86&lt;=W9,"W of I",IF(C86&gt;W10,"NT"))))</f>
        <v>Aw</v>
      </c>
      <c r="G86" s="32"/>
      <c r="O86" s="14">
        <f t="shared" si="45"/>
        <v>1</v>
      </c>
    </row>
    <row r="87" spans="1:37" ht="12" hidden="1" customHeight="1" x14ac:dyDescent="0.15">
      <c r="A87" s="63"/>
      <c r="B87" s="62"/>
      <c r="C87" s="64"/>
      <c r="D87" s="64"/>
      <c r="E87" s="32"/>
      <c r="G87" s="32"/>
    </row>
    <row r="88" spans="1:37" ht="12" hidden="1" customHeight="1" x14ac:dyDescent="0.15">
      <c r="A88" s="61" t="s">
        <v>147</v>
      </c>
      <c r="B88" s="62"/>
      <c r="C88" s="64"/>
      <c r="D88" s="64"/>
      <c r="E88" s="64"/>
      <c r="F88" s="32"/>
      <c r="G88" s="32"/>
      <c r="O88" s="14">
        <f>SUM(O83:O86)</f>
        <v>4</v>
      </c>
    </row>
    <row r="89" spans="1:37" ht="12" hidden="1" x14ac:dyDescent="0.15">
      <c r="A89" s="63" t="s">
        <v>145</v>
      </c>
      <c r="B89" s="62"/>
      <c r="C89" s="64">
        <f>H54+I55</f>
        <v>0.13999999999999999</v>
      </c>
      <c r="D89" s="62"/>
      <c r="E89" s="62"/>
    </row>
    <row r="90" spans="1:37" ht="12" hidden="1" x14ac:dyDescent="0.15">
      <c r="A90" s="63" t="s">
        <v>144</v>
      </c>
      <c r="B90" s="62"/>
      <c r="C90" s="64">
        <f>H54+I55</f>
        <v>0.13999999999999999</v>
      </c>
      <c r="D90" s="62"/>
      <c r="E90" s="62"/>
      <c r="L90" s="58">
        <f>IF(C89&lt;=0,0,IF(C90&lt;=0,0,(MAX(C89,C90)/MIN(C89,C90))))</f>
        <v>1</v>
      </c>
    </row>
    <row r="91" spans="1:37" ht="12" hidden="1" x14ac:dyDescent="0.15">
      <c r="A91" s="63" t="s">
        <v>143</v>
      </c>
      <c r="B91" s="62"/>
      <c r="C91" s="64">
        <f>H40+I41</f>
        <v>0.13999999999999999</v>
      </c>
      <c r="D91" s="62"/>
      <c r="E91" s="62"/>
    </row>
    <row r="92" spans="1:37" ht="12" hidden="1" x14ac:dyDescent="0.15">
      <c r="A92" s="63" t="s">
        <v>142</v>
      </c>
      <c r="B92" s="62"/>
      <c r="C92" s="64">
        <f>H40+I41</f>
        <v>0.13999999999999999</v>
      </c>
      <c r="D92" s="62"/>
      <c r="E92" s="62"/>
      <c r="L92" s="58">
        <f>IF(C91&lt;=0,0,IF(C92&lt;=0,0,(MAX(C91,C92)/MIN(C91,C92))))</f>
        <v>1</v>
      </c>
    </row>
    <row r="93" spans="1:37" ht="14" customHeight="1" thickBot="1" x14ac:dyDescent="0.2"/>
    <row r="94" spans="1:37" x14ac:dyDescent="0.15">
      <c r="A94" s="96"/>
      <c r="B94" s="97"/>
      <c r="C94" s="97"/>
      <c r="D94" s="97"/>
      <c r="E94" s="97"/>
      <c r="F94" s="97"/>
      <c r="G94" s="97"/>
      <c r="H94" s="97"/>
      <c r="I94" s="97"/>
      <c r="J94" s="98"/>
      <c r="K94" s="98"/>
      <c r="L94" s="97"/>
      <c r="M94" s="97"/>
      <c r="N94" s="97"/>
      <c r="O94" s="97"/>
      <c r="P94" s="97"/>
      <c r="Q94" s="97"/>
      <c r="R94" s="97"/>
      <c r="S94" s="97"/>
      <c r="T94" s="97"/>
      <c r="U94" s="97"/>
      <c r="V94" s="97"/>
      <c r="W94" s="97"/>
      <c r="X94" s="97"/>
      <c r="Y94" s="97"/>
      <c r="Z94" s="99"/>
      <c r="AA94" s="97"/>
      <c r="AB94" s="100"/>
    </row>
    <row r="95" spans="1:37" ht="13" x14ac:dyDescent="0.15">
      <c r="A95" s="101" t="s">
        <v>211</v>
      </c>
      <c r="C95" s="14" t="s">
        <v>189</v>
      </c>
      <c r="J95" s="24"/>
      <c r="K95" s="24"/>
      <c r="N95" s="38" t="s">
        <v>167</v>
      </c>
      <c r="P95" s="121" t="s">
        <v>216</v>
      </c>
      <c r="Q95" s="122"/>
      <c r="R95" s="122"/>
      <c r="S95" s="122"/>
      <c r="T95" s="122"/>
      <c r="U95" s="122"/>
      <c r="V95" s="122"/>
      <c r="W95" s="122"/>
      <c r="X95" s="122"/>
      <c r="Y95" s="122"/>
      <c r="Z95" s="123"/>
      <c r="AA95" s="123"/>
      <c r="AB95" s="124"/>
      <c r="AC95" s="54"/>
    </row>
    <row r="96" spans="1:37" ht="13" x14ac:dyDescent="0.15">
      <c r="A96" s="102" t="s">
        <v>202</v>
      </c>
      <c r="B96" s="46"/>
      <c r="C96" s="47" t="s">
        <v>57</v>
      </c>
      <c r="D96" s="47" t="s">
        <v>46</v>
      </c>
      <c r="E96" s="47" t="s">
        <v>72</v>
      </c>
      <c r="F96" s="113" t="s">
        <v>73</v>
      </c>
      <c r="G96" s="114"/>
      <c r="H96" s="114"/>
      <c r="I96" s="114"/>
      <c r="J96" s="114"/>
      <c r="K96" s="103"/>
      <c r="L96" s="103"/>
      <c r="P96" s="122"/>
      <c r="Q96" s="122"/>
      <c r="R96" s="122"/>
      <c r="S96" s="122"/>
      <c r="T96" s="122"/>
      <c r="U96" s="122"/>
      <c r="V96" s="122"/>
      <c r="W96" s="122"/>
      <c r="X96" s="122"/>
      <c r="Y96" s="122"/>
      <c r="Z96" s="123"/>
      <c r="AA96" s="123"/>
      <c r="AB96" s="124"/>
      <c r="AC96" s="54"/>
    </row>
    <row r="97" spans="1:29" ht="11" customHeight="1" x14ac:dyDescent="0.15">
      <c r="A97" s="104" t="s">
        <v>203</v>
      </c>
      <c r="C97" s="34">
        <v>1.4</v>
      </c>
      <c r="D97" s="34">
        <v>1.9</v>
      </c>
      <c r="E97" s="34">
        <v>1.4</v>
      </c>
      <c r="F97" s="34">
        <v>1.4</v>
      </c>
      <c r="P97" s="122"/>
      <c r="Q97" s="122"/>
      <c r="R97" s="122"/>
      <c r="S97" s="122"/>
      <c r="T97" s="122"/>
      <c r="U97" s="122"/>
      <c r="V97" s="122"/>
      <c r="W97" s="122"/>
      <c r="X97" s="122"/>
      <c r="Y97" s="122"/>
      <c r="Z97" s="123"/>
      <c r="AA97" s="123"/>
      <c r="AB97" s="124"/>
      <c r="AC97" s="54"/>
    </row>
    <row r="98" spans="1:29" ht="11" customHeight="1" x14ac:dyDescent="0.15">
      <c r="A98" s="104" t="s">
        <v>213</v>
      </c>
      <c r="C98" s="34">
        <v>3</v>
      </c>
      <c r="D98" s="34">
        <v>7</v>
      </c>
      <c r="E98" s="34">
        <v>3</v>
      </c>
      <c r="F98" s="34">
        <v>3</v>
      </c>
      <c r="P98" s="122"/>
      <c r="Q98" s="122"/>
      <c r="R98" s="122"/>
      <c r="S98" s="122"/>
      <c r="T98" s="122"/>
      <c r="U98" s="122"/>
      <c r="V98" s="122"/>
      <c r="W98" s="122"/>
      <c r="X98" s="122"/>
      <c r="Y98" s="122"/>
      <c r="Z98" s="123"/>
      <c r="AA98" s="123"/>
      <c r="AB98" s="124"/>
      <c r="AC98" s="54"/>
    </row>
    <row r="99" spans="1:29" ht="11" customHeight="1" x14ac:dyDescent="0.15">
      <c r="A99" s="104" t="s">
        <v>187</v>
      </c>
      <c r="C99" s="34">
        <v>3</v>
      </c>
      <c r="D99" s="34">
        <v>7</v>
      </c>
      <c r="E99" s="34">
        <v>3</v>
      </c>
      <c r="F99" s="34">
        <v>3</v>
      </c>
      <c r="P99" s="122"/>
      <c r="Q99" s="122"/>
      <c r="R99" s="122"/>
      <c r="S99" s="122"/>
      <c r="T99" s="122"/>
      <c r="U99" s="122"/>
      <c r="V99" s="122"/>
      <c r="W99" s="122"/>
      <c r="X99" s="122"/>
      <c r="Y99" s="122"/>
      <c r="Z99" s="123"/>
      <c r="AA99" s="123"/>
      <c r="AB99" s="124"/>
      <c r="AC99" s="54"/>
    </row>
    <row r="100" spans="1:29" ht="14" x14ac:dyDescent="0.2">
      <c r="A100" s="104" t="s">
        <v>214</v>
      </c>
      <c r="C100" s="34">
        <v>3</v>
      </c>
      <c r="D100" s="34">
        <v>7</v>
      </c>
      <c r="E100" s="34">
        <v>3</v>
      </c>
      <c r="F100" s="34">
        <v>3</v>
      </c>
      <c r="P100" s="123"/>
      <c r="Q100" s="123"/>
      <c r="R100" s="123"/>
      <c r="S100" s="123"/>
      <c r="T100" s="123"/>
      <c r="U100" s="123"/>
      <c r="V100" s="123"/>
      <c r="W100" s="123"/>
      <c r="X100" s="123"/>
      <c r="Y100" s="123"/>
      <c r="Z100" s="123"/>
      <c r="AA100" s="123"/>
      <c r="AB100" s="124"/>
      <c r="AC100" s="88"/>
    </row>
    <row r="101" spans="1:29" ht="14" hidden="1" x14ac:dyDescent="0.2">
      <c r="A101" s="104" t="s">
        <v>188</v>
      </c>
      <c r="C101" s="34">
        <v>1.4</v>
      </c>
      <c r="D101" s="34">
        <v>1.9</v>
      </c>
      <c r="E101" s="34">
        <v>1.4</v>
      </c>
      <c r="F101" s="34">
        <v>1.4</v>
      </c>
      <c r="P101" s="123"/>
      <c r="Q101" s="123"/>
      <c r="R101" s="123"/>
      <c r="S101" s="123"/>
      <c r="T101" s="123"/>
      <c r="U101" s="123"/>
      <c r="V101" s="123"/>
      <c r="W101" s="123"/>
      <c r="X101" s="123"/>
      <c r="Y101" s="123"/>
      <c r="Z101" s="123"/>
      <c r="AA101" s="123"/>
      <c r="AB101" s="124"/>
      <c r="AC101" s="88"/>
    </row>
    <row r="102" spans="1:29" x14ac:dyDescent="0.15">
      <c r="A102" s="104" t="s">
        <v>199</v>
      </c>
      <c r="C102" s="34">
        <v>0.1</v>
      </c>
      <c r="D102" s="34">
        <v>0.1</v>
      </c>
      <c r="E102" s="34">
        <v>0.1</v>
      </c>
      <c r="F102" s="34">
        <v>0.1</v>
      </c>
      <c r="Z102" s="27"/>
      <c r="AB102" s="105"/>
    </row>
    <row r="103" spans="1:29" ht="13" x14ac:dyDescent="0.15">
      <c r="A103" s="102" t="s">
        <v>200</v>
      </c>
      <c r="B103" s="46"/>
      <c r="C103" s="47" t="s">
        <v>57</v>
      </c>
      <c r="D103" s="47" t="s">
        <v>46</v>
      </c>
      <c r="E103" s="47" t="s">
        <v>72</v>
      </c>
      <c r="F103" s="113" t="s">
        <v>73</v>
      </c>
      <c r="G103" s="114"/>
      <c r="H103" s="114"/>
      <c r="I103" s="114"/>
      <c r="J103" s="114"/>
      <c r="N103" s="14" t="s">
        <v>135</v>
      </c>
      <c r="P103" s="119">
        <v>45313</v>
      </c>
      <c r="Q103" s="120"/>
      <c r="R103" s="120"/>
      <c r="Z103" s="27"/>
      <c r="AB103" s="105"/>
    </row>
    <row r="104" spans="1:29" ht="13" x14ac:dyDescent="0.15">
      <c r="A104" s="104" t="s">
        <v>184</v>
      </c>
      <c r="C104" s="34">
        <v>1.1000000000000001</v>
      </c>
      <c r="D104" s="34">
        <v>0.8</v>
      </c>
      <c r="E104" s="34">
        <v>0.8</v>
      </c>
      <c r="F104" s="34">
        <v>0.8</v>
      </c>
      <c r="K104" s="103"/>
      <c r="L104" s="103"/>
      <c r="N104" s="14" t="s">
        <v>130</v>
      </c>
      <c r="P104" s="106" t="s">
        <v>215</v>
      </c>
      <c r="Z104" s="27"/>
      <c r="AB104" s="105"/>
    </row>
    <row r="105" spans="1:29" x14ac:dyDescent="0.15">
      <c r="A105" s="104" t="s">
        <v>185</v>
      </c>
      <c r="C105" s="34">
        <v>3.7</v>
      </c>
      <c r="D105" s="34">
        <v>0.8</v>
      </c>
      <c r="E105" s="34">
        <v>0.8</v>
      </c>
      <c r="F105" s="34">
        <v>0.8</v>
      </c>
      <c r="N105" s="14" t="s">
        <v>131</v>
      </c>
      <c r="P105" s="17" t="s">
        <v>138</v>
      </c>
      <c r="Z105" s="27"/>
      <c r="AB105" s="105"/>
    </row>
    <row r="106" spans="1:29" x14ac:dyDescent="0.15">
      <c r="A106" s="104" t="s">
        <v>186</v>
      </c>
      <c r="C106" s="29">
        <v>3.7</v>
      </c>
      <c r="D106" s="29">
        <v>0.8</v>
      </c>
      <c r="E106" s="29">
        <v>0.8</v>
      </c>
      <c r="F106" s="29">
        <v>0.8</v>
      </c>
      <c r="P106" s="17" t="s">
        <v>139</v>
      </c>
      <c r="Z106" s="27"/>
      <c r="AB106" s="105"/>
    </row>
    <row r="107" spans="1:29" x14ac:dyDescent="0.15">
      <c r="A107" s="104" t="s">
        <v>201</v>
      </c>
      <c r="C107" s="29">
        <v>1.1000000000000001</v>
      </c>
      <c r="D107" s="29">
        <v>0.8</v>
      </c>
      <c r="E107" s="29">
        <v>0.8</v>
      </c>
      <c r="F107" s="29">
        <v>0.8</v>
      </c>
      <c r="P107" s="17" t="s">
        <v>209</v>
      </c>
      <c r="Z107" s="27"/>
      <c r="AB107" s="105"/>
    </row>
    <row r="108" spans="1:29" x14ac:dyDescent="0.15">
      <c r="A108" s="107"/>
      <c r="P108" s="17"/>
      <c r="Z108" s="27"/>
      <c r="AB108" s="105"/>
    </row>
    <row r="109" spans="1:29" ht="12" thickBot="1" x14ac:dyDescent="0.2">
      <c r="A109" s="108"/>
      <c r="B109" s="109"/>
      <c r="C109" s="109"/>
      <c r="D109" s="109"/>
      <c r="E109" s="109"/>
      <c r="F109" s="109"/>
      <c r="G109" s="109"/>
      <c r="H109" s="109"/>
      <c r="I109" s="109"/>
      <c r="J109" s="109"/>
      <c r="K109" s="109"/>
      <c r="L109" s="109"/>
      <c r="M109" s="109"/>
      <c r="N109" s="109"/>
      <c r="O109" s="109"/>
      <c r="P109" s="109"/>
      <c r="Q109" s="109"/>
      <c r="R109" s="109"/>
      <c r="S109" s="109"/>
      <c r="T109" s="109"/>
      <c r="U109" s="109"/>
      <c r="V109" s="109"/>
      <c r="W109" s="109"/>
      <c r="X109" s="109"/>
      <c r="Y109" s="109"/>
      <c r="Z109" s="110"/>
      <c r="AA109" s="109"/>
      <c r="AB109" s="111"/>
    </row>
  </sheetData>
  <sheetProtection algorithmName="SHA-512" hashValue="sDd4n2bda5wC4XDp3wff6TAoZAudEz3EJ3H4N3YyV4I3kdRSCNmY20UfwkdSBpQLbA4cCF5JAPz9V/PEufSF4Q==" saltValue="pZbDc8o437EQTLwpGv1tdg==" spinCount="100000" sheet="1" selectLockedCells="1"/>
  <mergeCells count="49">
    <mergeCell ref="C14:J14"/>
    <mergeCell ref="A1:D1"/>
    <mergeCell ref="C21:L21"/>
    <mergeCell ref="K9:P9"/>
    <mergeCell ref="AK19:AM19"/>
    <mergeCell ref="AK20:AM20"/>
    <mergeCell ref="C17:L17"/>
    <mergeCell ref="C18:L18"/>
    <mergeCell ref="C19:L19"/>
    <mergeCell ref="C20:L20"/>
    <mergeCell ref="C11:J11"/>
    <mergeCell ref="C15:J15"/>
    <mergeCell ref="C13:J13"/>
    <mergeCell ref="AT30:AT32"/>
    <mergeCell ref="C31:F31"/>
    <mergeCell ref="H30:J31"/>
    <mergeCell ref="AK30:AQ30"/>
    <mergeCell ref="AQ17:AY17"/>
    <mergeCell ref="AQ18:AY18"/>
    <mergeCell ref="AQ19:AY19"/>
    <mergeCell ref="AQ20:AY20"/>
    <mergeCell ref="AK17:AM17"/>
    <mergeCell ref="AK18:AM18"/>
    <mergeCell ref="C30:F30"/>
    <mergeCell ref="C32:F32"/>
    <mergeCell ref="C27:AB27"/>
    <mergeCell ref="C28:AB28"/>
    <mergeCell ref="AY30:AY33"/>
    <mergeCell ref="C24:AB25"/>
    <mergeCell ref="C9:J9"/>
    <mergeCell ref="C12:J12"/>
    <mergeCell ref="C3:J3"/>
    <mergeCell ref="C4:J4"/>
    <mergeCell ref="C5:J5"/>
    <mergeCell ref="C10:J10"/>
    <mergeCell ref="K7:P7"/>
    <mergeCell ref="K8:P8"/>
    <mergeCell ref="C7:J7"/>
    <mergeCell ref="C8:J8"/>
    <mergeCell ref="C6:J6"/>
    <mergeCell ref="C16:J16"/>
    <mergeCell ref="C26:Z26"/>
    <mergeCell ref="AV30:AV32"/>
    <mergeCell ref="F103:J103"/>
    <mergeCell ref="C33:D33"/>
    <mergeCell ref="E33:F33"/>
    <mergeCell ref="P103:R103"/>
    <mergeCell ref="P95:AB101"/>
    <mergeCell ref="F96:J96"/>
  </mergeCells>
  <phoneticPr fontId="1" type="noConversion"/>
  <hyperlinks>
    <hyperlink ref="P105" r:id="rId1" xr:uid="{00000000-0004-0000-0000-000000000000}"/>
    <hyperlink ref="P106" r:id="rId2" xr:uid="{00000000-0004-0000-0000-000001000000}"/>
  </hyperlinks>
  <pageMargins left="0.75" right="0.75" top="1" bottom="1" header="0.5" footer="0.5"/>
  <pageSetup paperSize="9" scale="45" orientation="portrait" horizontalDpi="360" verticalDpi="360"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9"/>
  <dimension ref="A1:E7"/>
  <sheetViews>
    <sheetView zoomScale="200" zoomScaleNormal="200" workbookViewId="0">
      <selection sqref="A1:E7"/>
    </sheetView>
  </sheetViews>
  <sheetFormatPr baseColWidth="10" defaultColWidth="10.83203125" defaultRowHeight="16" x14ac:dyDescent="0.2"/>
  <cols>
    <col min="1" max="1" width="34" style="2" bestFit="1" customWidth="1"/>
    <col min="2" max="4" width="10.83203125" style="2"/>
    <col min="5" max="5" width="15.5" style="2" customWidth="1"/>
    <col min="6" max="16384" width="10.83203125" style="2"/>
  </cols>
  <sheetData>
    <row r="1" spans="1:5" x14ac:dyDescent="0.2">
      <c r="A1" s="3" t="s">
        <v>68</v>
      </c>
    </row>
    <row r="3" spans="1:5" ht="50" customHeight="1" x14ac:dyDescent="0.2">
      <c r="A3" s="2" t="s">
        <v>69</v>
      </c>
      <c r="B3" s="3" t="s">
        <v>57</v>
      </c>
      <c r="C3" s="3" t="s">
        <v>46</v>
      </c>
      <c r="D3" s="3" t="s">
        <v>72</v>
      </c>
      <c r="E3" s="5" t="s">
        <v>73</v>
      </c>
    </row>
    <row r="4" spans="1:5" x14ac:dyDescent="0.2">
      <c r="A4" s="6" t="s">
        <v>70</v>
      </c>
      <c r="B4" s="4">
        <v>0.1</v>
      </c>
      <c r="C4" s="4">
        <v>0.1</v>
      </c>
      <c r="D4" s="4">
        <v>0.1</v>
      </c>
      <c r="E4" s="4">
        <v>0.1</v>
      </c>
    </row>
    <row r="5" spans="1:5" x14ac:dyDescent="0.2">
      <c r="A5" s="6" t="s">
        <v>71</v>
      </c>
      <c r="B5" s="4">
        <v>3</v>
      </c>
      <c r="C5" s="4">
        <v>7</v>
      </c>
      <c r="D5" s="4">
        <v>3</v>
      </c>
      <c r="E5" s="4">
        <v>3</v>
      </c>
    </row>
    <row r="6" spans="1:5" x14ac:dyDescent="0.2">
      <c r="A6" s="6" t="s">
        <v>8</v>
      </c>
      <c r="B6" s="4">
        <v>3</v>
      </c>
      <c r="C6" s="4">
        <v>7</v>
      </c>
      <c r="D6" s="4">
        <v>3</v>
      </c>
      <c r="E6" s="4">
        <v>3</v>
      </c>
    </row>
    <row r="7" spans="1:5" x14ac:dyDescent="0.2">
      <c r="A7" s="6" t="s">
        <v>9</v>
      </c>
      <c r="B7" s="4">
        <v>3</v>
      </c>
      <c r="C7" s="4">
        <v>7</v>
      </c>
      <c r="D7" s="4">
        <v>3</v>
      </c>
      <c r="E7" s="4">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8"/>
  <dimension ref="A1:F55"/>
  <sheetViews>
    <sheetView topLeftCell="A22" workbookViewId="0">
      <selection activeCell="F44" sqref="F44"/>
    </sheetView>
  </sheetViews>
  <sheetFormatPr baseColWidth="10" defaultColWidth="10.83203125" defaultRowHeight="12" x14ac:dyDescent="0.15"/>
  <cols>
    <col min="1" max="1" width="15.1640625" style="1" customWidth="1"/>
    <col min="2" max="16384" width="10.83203125" style="1"/>
  </cols>
  <sheetData>
    <row r="1" spans="1:1" x14ac:dyDescent="0.15">
      <c r="A1" s="7" t="s">
        <v>108</v>
      </c>
    </row>
    <row r="3" spans="1:1" x14ac:dyDescent="0.15">
      <c r="A3" s="8" t="s">
        <v>74</v>
      </c>
    </row>
    <row r="5" spans="1:1" x14ac:dyDescent="0.15">
      <c r="A5" s="9" t="s">
        <v>75</v>
      </c>
    </row>
    <row r="7" spans="1:1" x14ac:dyDescent="0.15">
      <c r="A7" s="9" t="s">
        <v>76</v>
      </c>
    </row>
    <row r="9" spans="1:1" x14ac:dyDescent="0.15">
      <c r="A9" s="9" t="s">
        <v>77</v>
      </c>
    </row>
    <row r="10" spans="1:1" x14ac:dyDescent="0.15">
      <c r="A10" s="9"/>
    </row>
    <row r="11" spans="1:1" x14ac:dyDescent="0.15">
      <c r="A11" s="9"/>
    </row>
    <row r="13" spans="1:1" x14ac:dyDescent="0.15">
      <c r="A13" s="9" t="s">
        <v>78</v>
      </c>
    </row>
    <row r="15" spans="1:1" ht="14" x14ac:dyDescent="0.2">
      <c r="A15" s="9" t="s">
        <v>109</v>
      </c>
    </row>
    <row r="17" spans="1:4" ht="14" x14ac:dyDescent="0.2">
      <c r="A17" s="9" t="s">
        <v>110</v>
      </c>
    </row>
    <row r="19" spans="1:4" x14ac:dyDescent="0.15">
      <c r="A19" s="9" t="s">
        <v>79</v>
      </c>
    </row>
    <row r="21" spans="1:4" x14ac:dyDescent="0.15">
      <c r="A21" s="9" t="s">
        <v>80</v>
      </c>
    </row>
    <row r="23" spans="1:4" x14ac:dyDescent="0.15">
      <c r="A23" s="9" t="s">
        <v>81</v>
      </c>
    </row>
    <row r="24" spans="1:4" x14ac:dyDescent="0.15">
      <c r="A24" s="9"/>
    </row>
    <row r="25" spans="1:4" x14ac:dyDescent="0.15">
      <c r="A25" s="175" t="s">
        <v>82</v>
      </c>
      <c r="B25" s="176"/>
      <c r="C25" s="176"/>
      <c r="D25" s="176"/>
    </row>
    <row r="26" spans="1:4" x14ac:dyDescent="0.15">
      <c r="A26" s="10" t="s">
        <v>0</v>
      </c>
      <c r="B26" s="10" t="s">
        <v>1</v>
      </c>
      <c r="C26" s="10" t="s">
        <v>2</v>
      </c>
      <c r="D26" s="10" t="s">
        <v>3</v>
      </c>
    </row>
    <row r="27" spans="1:4" ht="13" x14ac:dyDescent="0.15">
      <c r="A27" s="1" t="s">
        <v>111</v>
      </c>
      <c r="B27" s="1">
        <v>1</v>
      </c>
      <c r="C27" s="1">
        <v>0</v>
      </c>
      <c r="D27" s="1">
        <v>0</v>
      </c>
    </row>
    <row r="28" spans="1:4" x14ac:dyDescent="0.15">
      <c r="A28" s="1" t="s">
        <v>83</v>
      </c>
      <c r="B28" s="1">
        <v>15</v>
      </c>
      <c r="C28" s="1">
        <v>0.4</v>
      </c>
      <c r="D28" s="1">
        <v>0.4</v>
      </c>
    </row>
    <row r="29" spans="1:4" x14ac:dyDescent="0.15">
      <c r="A29" s="1" t="s">
        <v>84</v>
      </c>
      <c r="B29" s="1">
        <v>30</v>
      </c>
      <c r="C29" s="1">
        <v>5</v>
      </c>
      <c r="D29" s="1">
        <v>0</v>
      </c>
    </row>
    <row r="30" spans="1:4" x14ac:dyDescent="0.15">
      <c r="A30" s="1" t="s">
        <v>85</v>
      </c>
      <c r="B30" s="1">
        <v>8</v>
      </c>
      <c r="C30" s="1">
        <v>0.9</v>
      </c>
      <c r="D30" s="1">
        <v>0</v>
      </c>
    </row>
    <row r="31" spans="1:4" x14ac:dyDescent="0.15">
      <c r="A31" s="1" t="s">
        <v>86</v>
      </c>
      <c r="B31" s="1">
        <v>0.4</v>
      </c>
      <c r="C31" s="1">
        <v>7.0000000000000001E-3</v>
      </c>
      <c r="D31" s="1">
        <v>2.1000000000000001E-2</v>
      </c>
    </row>
    <row r="32" spans="1:4" x14ac:dyDescent="0.15">
      <c r="A32" s="1" t="s">
        <v>87</v>
      </c>
      <c r="B32" s="1">
        <v>50</v>
      </c>
      <c r="C32" s="1">
        <v>2</v>
      </c>
      <c r="D32" s="1">
        <v>0</v>
      </c>
    </row>
    <row r="33" spans="1:6" x14ac:dyDescent="0.15">
      <c r="A33" s="1" t="s">
        <v>88</v>
      </c>
      <c r="B33" s="1">
        <v>2</v>
      </c>
      <c r="C33" s="1">
        <v>0.28000000000000003</v>
      </c>
      <c r="D33" s="1">
        <v>0</v>
      </c>
    </row>
    <row r="34" spans="1:6" x14ac:dyDescent="0.15">
      <c r="A34" s="1" t="s">
        <v>89</v>
      </c>
      <c r="B34" s="1">
        <v>15</v>
      </c>
      <c r="C34" s="1">
        <v>0.6</v>
      </c>
      <c r="D34" s="1">
        <v>0.6</v>
      </c>
    </row>
    <row r="35" spans="1:6" x14ac:dyDescent="0.15">
      <c r="A35" s="1" t="s">
        <v>90</v>
      </c>
      <c r="B35" s="1">
        <v>0.2</v>
      </c>
      <c r="C35" s="1">
        <v>3.3999999999999998E-3</v>
      </c>
      <c r="D35" s="1">
        <v>1.6999999999999999E-3</v>
      </c>
    </row>
    <row r="36" spans="1:6" x14ac:dyDescent="0.15">
      <c r="A36" s="1" t="s">
        <v>91</v>
      </c>
      <c r="B36" s="1">
        <v>50</v>
      </c>
      <c r="C36" s="1">
        <v>1</v>
      </c>
      <c r="D36" s="1">
        <v>1</v>
      </c>
    </row>
    <row r="37" spans="1:6" ht="13" x14ac:dyDescent="0.15">
      <c r="A37" s="1" t="s">
        <v>112</v>
      </c>
      <c r="B37" s="1">
        <v>1</v>
      </c>
      <c r="C37" s="1">
        <v>0</v>
      </c>
      <c r="D37" s="1">
        <v>0</v>
      </c>
    </row>
    <row r="38" spans="1:6" x14ac:dyDescent="0.15">
      <c r="A38" s="1" t="s">
        <v>92</v>
      </c>
      <c r="B38" s="1">
        <v>10</v>
      </c>
      <c r="C38" s="1">
        <v>1</v>
      </c>
      <c r="D38" s="1">
        <v>0</v>
      </c>
    </row>
    <row r="39" spans="1:6" ht="13" x14ac:dyDescent="0.15">
      <c r="A39" s="1" t="s">
        <v>113</v>
      </c>
      <c r="B39" s="1">
        <v>1</v>
      </c>
      <c r="C39" s="1">
        <v>0</v>
      </c>
      <c r="D39" s="1">
        <v>0</v>
      </c>
    </row>
    <row r="40" spans="1:6" x14ac:dyDescent="0.15">
      <c r="A40" s="1" t="s">
        <v>93</v>
      </c>
      <c r="B40" s="1">
        <v>4</v>
      </c>
      <c r="C40" s="1">
        <v>0.6</v>
      </c>
      <c r="D40" s="1">
        <v>0</v>
      </c>
    </row>
    <row r="41" spans="1:6" x14ac:dyDescent="0.15">
      <c r="A41" s="1" t="s">
        <v>94</v>
      </c>
      <c r="B41" s="1">
        <v>12</v>
      </c>
      <c r="C41" s="1">
        <v>1.2</v>
      </c>
      <c r="D41" s="1">
        <v>0</v>
      </c>
    </row>
    <row r="42" spans="1:6" x14ac:dyDescent="0.15">
      <c r="A42" s="1" t="s">
        <v>95</v>
      </c>
      <c r="B42" s="1">
        <v>50</v>
      </c>
      <c r="C42" s="1">
        <v>3</v>
      </c>
      <c r="D42" s="1">
        <v>1.5</v>
      </c>
    </row>
    <row r="43" spans="1:6" x14ac:dyDescent="0.15">
      <c r="A43" s="12" t="s">
        <v>96</v>
      </c>
      <c r="B43" s="12">
        <v>0</v>
      </c>
      <c r="C43" s="12">
        <v>0</v>
      </c>
      <c r="D43" s="12">
        <v>1</v>
      </c>
      <c r="F43" s="1" t="s">
        <v>115</v>
      </c>
    </row>
    <row r="44" spans="1:6" x14ac:dyDescent="0.15">
      <c r="A44" s="1" t="s">
        <v>97</v>
      </c>
      <c r="B44" s="1">
        <v>1</v>
      </c>
      <c r="C44" s="1">
        <v>0</v>
      </c>
      <c r="D44" s="1">
        <v>0</v>
      </c>
    </row>
    <row r="46" spans="1:6" ht="13" x14ac:dyDescent="0.15">
      <c r="A46" s="11" t="s">
        <v>114</v>
      </c>
    </row>
    <row r="47" spans="1:6" x14ac:dyDescent="0.15">
      <c r="A47" s="9"/>
    </row>
    <row r="48" spans="1:6" x14ac:dyDescent="0.15">
      <c r="A48" s="175" t="s">
        <v>98</v>
      </c>
      <c r="B48" s="176"/>
      <c r="C48" s="176"/>
      <c r="D48" s="176"/>
      <c r="E48" s="176"/>
    </row>
    <row r="49" spans="1:5" x14ac:dyDescent="0.15">
      <c r="A49" s="10"/>
      <c r="B49" s="10" t="s">
        <v>99</v>
      </c>
      <c r="C49" s="10" t="s">
        <v>100</v>
      </c>
    </row>
    <row r="50" spans="1:5" x14ac:dyDescent="0.15">
      <c r="A50" s="10" t="s">
        <v>101</v>
      </c>
      <c r="B50" s="10" t="s">
        <v>102</v>
      </c>
      <c r="C50" s="10" t="s">
        <v>103</v>
      </c>
      <c r="D50" s="10" t="s">
        <v>102</v>
      </c>
      <c r="E50" s="10" t="s">
        <v>103</v>
      </c>
    </row>
    <row r="51" spans="1:5" x14ac:dyDescent="0.15">
      <c r="A51" s="1" t="s">
        <v>104</v>
      </c>
      <c r="B51" s="1">
        <v>2</v>
      </c>
      <c r="C51" s="1" t="s">
        <v>7</v>
      </c>
      <c r="D51" s="1">
        <v>2</v>
      </c>
      <c r="E51" s="1" t="s">
        <v>7</v>
      </c>
    </row>
    <row r="52" spans="1:5" x14ac:dyDescent="0.15">
      <c r="A52" s="1" t="s">
        <v>105</v>
      </c>
      <c r="B52" s="1">
        <v>2</v>
      </c>
      <c r="C52" s="1">
        <v>30</v>
      </c>
      <c r="D52" s="1" t="s">
        <v>7</v>
      </c>
      <c r="E52" s="1" t="s">
        <v>7</v>
      </c>
    </row>
    <row r="53" spans="1:5" x14ac:dyDescent="0.15">
      <c r="A53" s="1" t="s">
        <v>106</v>
      </c>
      <c r="B53" s="1">
        <v>10</v>
      </c>
      <c r="C53" s="1">
        <v>30</v>
      </c>
      <c r="D53" s="1" t="s">
        <v>7</v>
      </c>
      <c r="E53" s="1" t="s">
        <v>7</v>
      </c>
    </row>
    <row r="55" spans="1:5" x14ac:dyDescent="0.15">
      <c r="A55" s="8" t="s">
        <v>107</v>
      </c>
    </row>
  </sheetData>
  <mergeCells count="2">
    <mergeCell ref="A25:D25"/>
    <mergeCell ref="A48:E48"/>
  </mergeCells>
  <hyperlinks>
    <hyperlink ref="A3" r:id="rId1" location="BijlageB" display="https://wetten.overheid.nl/BWBR0023085/2018-11-30/ - BijlageB" xr:uid="{00000000-0004-0000-0200-000000000000}"/>
    <hyperlink ref="A55" r:id="rId2" display="https://wetten.overheid.nl/jci1.3:c:BWBR0022929&amp;artikel=35&amp;g=2019-07-31&amp;z=2019-07-31" xr:uid="{00000000-0004-0000-0200-000001000000}"/>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Invoer+conclusie</vt:lpstr>
      <vt:lpstr>Norm 8 juli 2019</vt:lpstr>
      <vt:lpstr>Bijlage G onderdeel 3 bodemsane</vt:lpstr>
      <vt:lpstr>'Invoer+conclusie'!Afdrukbereik</vt:lpstr>
    </vt:vector>
  </TitlesOfParts>
  <Company>Bosmilieuadvies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Toetsingsheat BRL 9335</dc:title>
  <dc:creator>J.Bos</dc:creator>
  <cp:lastModifiedBy>Jakob Bos</cp:lastModifiedBy>
  <cp:lastPrinted>2021-12-30T12:34:01Z</cp:lastPrinted>
  <dcterms:created xsi:type="dcterms:W3CDTF">2005-11-14T09:18:54Z</dcterms:created>
  <dcterms:modified xsi:type="dcterms:W3CDTF">2024-01-22T14:16:11Z</dcterms:modified>
</cp:coreProperties>
</file>